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4"/>
  </bookViews>
  <sheets>
    <sheet name="Лист1" sheetId="1" r:id="rId1"/>
    <sheet name="Лист2" sheetId="2" r:id="rId2"/>
    <sheet name="Лист3" sheetId="3" state="hidden" r:id="rId3"/>
    <sheet name="Лист5" sheetId="4" state="hidden" r:id="rId4"/>
    <sheet name="Лист6" sheetId="5" r:id="rId5"/>
    <sheet name="Лист7" sheetId="6" r:id="rId6"/>
    <sheet name="Лист8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<sst xmlns="http://schemas.openxmlformats.org/spreadsheetml/2006/main" count="656" uniqueCount="270">
  <si>
    <t>Приложение 3</t>
  </si>
  <si>
    <t xml:space="preserve">к Порядку </t>
  </si>
  <si>
    <t>Расчеты (обоснования) к плану финансово-хозяйственной деятельности муниципального учреждения по выплатам на 2020 год</t>
  </si>
  <si>
    <t>Код и наименование фукциональной статьи расходов</t>
  </si>
  <si>
    <t>0801 КУЛЬТУРА</t>
  </si>
  <si>
    <t>1. Расчеты (обоснования) выплат персоналу (строка 2100)</t>
  </si>
  <si>
    <t>1.1. Расчеты (обоснования) расходов на оплату труда (КВР 111)</t>
  </si>
  <si>
    <t>№ п/п</t>
  </si>
  <si>
    <t>Наименование должности</t>
  </si>
  <si>
    <t>Установленная численность, единиц</t>
  </si>
  <si>
    <t>Среднемесячный размер оплаты труда на одного работника, руб.</t>
  </si>
  <si>
    <t>Фонд оплаты труда в год, руб.</t>
  </si>
  <si>
    <t>в том числе по источникам финасового обеспечения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</si>
  <si>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</si>
  <si>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</si>
  <si>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</si>
  <si>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</si>
  <si>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субсидия на финансовое обеспечение выполнения муниципального задания</t>
  </si>
  <si>
    <t>субсидии на иные цели</t>
  </si>
  <si>
    <t>поступления от оказания услуг (выполнения работ) на платной основе и иной приносящей доход деятельности</t>
  </si>
  <si>
    <t>областной бюджет</t>
  </si>
  <si>
    <t>местный бюджет</t>
  </si>
  <si>
    <t>код субсидии</t>
  </si>
  <si>
    <t>4=5+6+7</t>
  </si>
  <si>
    <t>8=4*3*12</t>
  </si>
  <si>
    <t>Директор</t>
  </si>
  <si>
    <t>Заместитель директора</t>
  </si>
  <si>
    <t>Главный бухгалтер</t>
  </si>
  <si>
    <t>Главный инженер</t>
  </si>
  <si>
    <t>Ведущий специалист по кадрам</t>
  </si>
  <si>
    <t>Юрисконсульт</t>
  </si>
  <si>
    <t>Специалист по охране труда</t>
  </si>
  <si>
    <t>Инженер-энергетик</t>
  </si>
  <si>
    <t>Инженер по организации управления производством</t>
  </si>
  <si>
    <t>Осветитель</t>
  </si>
  <si>
    <t>Вахтер</t>
  </si>
  <si>
    <t>Дворник</t>
  </si>
  <si>
    <t>Гардеробщик</t>
  </si>
  <si>
    <t>Заведующий хозяйством</t>
  </si>
  <si>
    <t>Ведущий экономист</t>
  </si>
  <si>
    <t>Ведущий бухгалтер</t>
  </si>
  <si>
    <t>Руководитель клубного формирования</t>
  </si>
  <si>
    <t>Звукорежиссер</t>
  </si>
  <si>
    <t>Итого по КОСГУ 266:</t>
  </si>
  <si>
    <t>х</t>
  </si>
  <si>
    <t>КОСГУ</t>
  </si>
  <si>
    <t>КВР</t>
  </si>
  <si>
    <t>КВФО 4</t>
  </si>
  <si>
    <t>КВФО 5</t>
  </si>
  <si>
    <t>КВФО 2</t>
  </si>
  <si>
    <t>Всего по КОСГУ 211 :</t>
  </si>
  <si>
    <t>Итого:</t>
  </si>
  <si>
    <t>1.3. Расчеты (обоснования) выплат персоналу при направлении в служебные командировки (КВР 112)</t>
  </si>
  <si>
    <t>Наименование расходов</t>
  </si>
  <si>
    <t>Средний размер выплат на одного работника в день, руб.</t>
  </si>
  <si>
    <t>Количество работников, чел.</t>
  </si>
  <si>
    <t>Количество дней</t>
  </si>
  <si>
    <t xml:space="preserve">Сумма, руб. </t>
  </si>
  <si>
    <t>6=3*4*5</t>
  </si>
  <si>
    <t>Итого по КОСГУ 212:</t>
  </si>
  <si>
    <t>Итого по КОСГУ 226:</t>
  </si>
  <si>
    <t>1.4. Расчеты (обоснования) выплат персоналу по уходу за ребенком (КВР 112)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</si>
  <si>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</si>
  <si>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</si>
  <si>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</si>
  <si>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Сумма, руб.</t>
  </si>
  <si>
    <t xml:space="preserve">Ежемесячные компенсационные выплаты в размере работникам, находящимся в отпуске по уходу за ребенком до достижения им возраста 3-х лет </t>
  </si>
  <si>
    <t>1.5. Расчеты (обоснования) выплат персоналу на прохождение медицинского осмотра (КВР 112)</t>
  </si>
  <si>
    <t>Средний размер выплаты на одного работника, руб.</t>
  </si>
  <si>
    <t>5=3*4</t>
  </si>
  <si>
    <t>1.6. Расчеты (обоснования) выплат тренерам, спортсменам, учащимся на проезд, проживание в жилых помещениях (найм жилого помещения), питание при их направлении на различного рода мероприятия (физкультурно-спортивные мероприятия, соревнования, олимпиады и иные аналогичные мероприятия) (КВР 113)</t>
  </si>
  <si>
    <t>Средний размер выплат на одного человека в день, руб.</t>
  </si>
  <si>
    <t>Количество человек</t>
  </si>
  <si>
    <t>Итого по КОСГУ 226 :</t>
  </si>
  <si>
    <t xml:space="preserve">1.7. Расчеты (обоснования) страховых взносов на обязательное страхование в Пенсионный фонд Российской Федерации, </t>
  </si>
  <si>
    <t>в Фонд социального страхования Российской Федерации, в Федеральный фонд обязательного медицинского страхования (КВР 119)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</si>
  <si>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</si>
  <si>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</si>
  <si>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</si>
  <si>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</si>
  <si>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</si>
  <si>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в том числе:</t>
  </si>
  <si>
    <t>по ставке 22,0 %</t>
  </si>
  <si>
    <t>1.2.</t>
  </si>
  <si>
    <t>по ставке 10,0 %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</si>
  <si>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</si>
  <si>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</si>
  <si>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</si>
  <si>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</si>
  <si>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</si>
  <si>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</si>
  <si>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</si>
  <si>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</si>
  <si>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</si>
  <si>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</si>
  <si>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</si>
  <si>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</si>
  <si>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</si>
  <si>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</si>
  <si>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</si>
  <si>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</si>
  <si>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</si>
  <si>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</si>
  <si>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Итого по КОСГУ 213: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</si>
  <si>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</si>
  <si>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социальных и иных выплат населению (строка 2200)</t>
  </si>
  <si>
    <t>2.1. Расчеты (обоснования) расходов на выплату уволенным работникам среднего месячного заработка на период трудоустройства, в случае их увольнения в связи с ликвидацией организации, иными организационно-штатными мероприятиями, приводящими к сокращению численности или штата работников организации, осуществляемые на основании статей 178 и 318 Трудового кодекса Российской Федерации (КВР 321)</t>
  </si>
  <si>
    <t>Средний размер одной выплаты, руб.</t>
  </si>
  <si>
    <t>Общая сумма выплат, руб.</t>
  </si>
  <si>
    <t>Итого по КОСГУ 264:</t>
  </si>
  <si>
    <t>3. Расчеты (обоснования) на уплата налогов, сборов и иных платежей (строка 2300)</t>
  </si>
  <si>
    <t>3.1. Расчеты (обоснования) расходов на уплату налогов, сборов и иных платежей (КВР 851, 852, 853)</t>
  </si>
  <si>
    <t>Налоговая база, руб.</t>
  </si>
  <si>
    <t>Ставка налога, %</t>
  </si>
  <si>
    <t>Сумма исчисленного налога, подлежащего уплате (государственной пошлины, штрафов (в том числе административных), пеней, иных платежей), руб.</t>
  </si>
  <si>
    <t>5=3*4/100</t>
  </si>
  <si>
    <t>Налоги, пошлины и сборы</t>
  </si>
  <si>
    <t>Итого по КОСГУ 291:</t>
  </si>
  <si>
    <t>Итого по КОСГУ 292:</t>
  </si>
  <si>
    <t>Итого по КОСГУ 293:</t>
  </si>
  <si>
    <t>Итого по КОСГУ 295:</t>
  </si>
  <si>
    <t xml:space="preserve"> 4. Расчеты (обоснования) прочих выплат (кроме выплат на закупку товаров, работ, услуг) (строка 2400)</t>
  </si>
  <si>
    <t>4.1. Расчеты (обоснования) расходов на возмещение истцам судебных издержек на основании вступивших в законную силу судебных актов (КВР 831)</t>
  </si>
  <si>
    <t>Судебный акт, номер, дата</t>
  </si>
  <si>
    <t>Общая сумма возмещения, руб.</t>
  </si>
  <si>
    <t>Итого по КОСГУ 296:</t>
  </si>
  <si>
    <t>Итого по КОСГУ 297:</t>
  </si>
  <si>
    <t>5. Расчеты (обоснования) расходов на закупку товаров, работ, услуг в целях капитального ремонта муниципального имущества (КВР 243) (строка 2630)</t>
  </si>
  <si>
    <t>5.1. Расчеты (обоснования) расходов на оплату работ, услуг по содержанию имущества</t>
  </si>
  <si>
    <t xml:space="preserve">Цена работы (услуги), руб. </t>
  </si>
  <si>
    <t>Количество платежей в год</t>
  </si>
  <si>
    <t>Стоимость работ (услуг), руб.</t>
  </si>
  <si>
    <t>Итого по КОСГУ 225:</t>
  </si>
  <si>
    <t xml:space="preserve">5.2. Расчеты (обоснования) расходов на оплату прочих работ, услуг </t>
  </si>
  <si>
    <t>6. Расчеты (обоснования) расходов на прочую закупку товаров, работ, услуг (КВР 244) (строка 2640)</t>
  </si>
  <si>
    <t xml:space="preserve">6.1. Расчеты (обоснования) расходов на оплату услуг связи </t>
  </si>
  <si>
    <t>Количество номеров</t>
  </si>
  <si>
    <t>Стоимость за единицу, руб.</t>
  </si>
  <si>
    <t>Услуги связи (предоставление абонентской линии, местные соединения)</t>
  </si>
  <si>
    <t>Услуги  Интернет (пр.Победы,3)</t>
  </si>
  <si>
    <t>Итого по КОСГУ 221:</t>
  </si>
  <si>
    <t>6.2. Расчеты (обоснования) расходов на оплату транспортных услуг</t>
  </si>
  <si>
    <t>Количество услуг перевозки</t>
  </si>
  <si>
    <t>Цена услуги перевозки, руб.</t>
  </si>
  <si>
    <t>Митинг, посвященный 76-ой годовщине снятия блокады Ленинграда (Доставка генератора, аппаратуры до места проведения мероприятия и обратно)</t>
  </si>
  <si>
    <t>Митинг, посвященный Дню памяти воинов интернационалистов (Доставка генератора, аппаратуры до места проведения мероприятия и обратно)</t>
  </si>
  <si>
    <t>Митинг, посвященный Дню памяти и скорби  (Доставка , знаменной группы, генератора, аппаратуры до места проведения мероприятия и обратно)</t>
  </si>
  <si>
    <t>Митинг, посвященный 78-летней годовщине со дня начала блокады Ленинграда (1941 год)  (Доставка генератора, аппаратуры до места проведения мероприятия и обратно)</t>
  </si>
  <si>
    <t>Митинг, посвященный освобождению Киришской земли от немецко-фашистских захватчиков (Доставка генератора, аппаратуры до места проведения мероприятия и обратно)</t>
  </si>
  <si>
    <t>Митинг, посвященный Дню памяти саженным немецко-фашистскими оккупантами деревням Ленинградской области  (Доставка генератора, аппаратуры до места проведения мероприятия и обратно)</t>
  </si>
  <si>
    <t>Митинг, посвященный  Дню неизвестного солдата в России (Доставка генератора, аппаратуры до места проведения мероприятия и обратно)</t>
  </si>
  <si>
    <t>Проведение  программы в рамках соревнований "Лыжня России" (Доставка аппаратуры до места проведения и обратно)</t>
  </si>
  <si>
    <t>Проведение праздничного мероприятия "Масленица"(Доставка аппаратуры,генератора и прочее до места проведения и обратно)</t>
  </si>
  <si>
    <t xml:space="preserve">"День Победы" (Доставка  стульев, аппаратуры, генераторов,ограждения сценической площадки и т.п., доставка  ветеранов)  </t>
  </si>
  <si>
    <t xml:space="preserve">"Кросс нации" (Доставка аппаратуры к месту проведения мероприятия и обратно) </t>
  </si>
  <si>
    <t>Фестиваль "Открытое сердце", посвященный Дню инвалида (Доставка артистов до места проведения мероприятия и обратно)</t>
  </si>
  <si>
    <t>Итого по КОСГУ 222:</t>
  </si>
  <si>
    <t>6.3. Расчеты (обоснования) расходов на оплату коммунальных услуг</t>
  </si>
  <si>
    <t>Наименование показателя</t>
  </si>
  <si>
    <t>Размер потребления ресурсов</t>
  </si>
  <si>
    <t>Тариф (с учетом НДС), руб.</t>
  </si>
  <si>
    <t>Индексация, %</t>
  </si>
  <si>
    <t>6=3*4*5/100</t>
  </si>
  <si>
    <t>Электроэнергия по адресам:ул.Мира , д.15;пр.Победы, д.3;пр.Победы, д.7;</t>
  </si>
  <si>
    <t>Теплоэнергия I полугодие по адресам:пр.Победы, д.3;пр.Победы, д.7;</t>
  </si>
  <si>
    <t>Компонент на теплоноситель I полугодие;пр.Победы, д.3;пр.Победы, д.7;</t>
  </si>
  <si>
    <t>Компонент на теплоноситель II полугодие;пр.Победы, д.3;пр.Победы, д.7;</t>
  </si>
  <si>
    <t>Компонент на тепловую энергию I полугодие ;пр.Победы, д.3;пр.Победы, д.7;</t>
  </si>
  <si>
    <t>Компонент на тепловую энергию II полугодие ;пр.Победы, д.3;пр.Победы, д.7;</t>
  </si>
  <si>
    <t>Ком.услуги, предоставленные на общедомовые нужды (пр.Победы,3 и пр.Победы,7</t>
  </si>
  <si>
    <t>Итого по КОСГУ 223:</t>
  </si>
  <si>
    <t>6.4. Расчеты (обоснования)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</si>
  <si>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</si>
  <si>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</si>
  <si>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</si>
  <si>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>Итого по КОСГУ 224 :</t>
  </si>
  <si>
    <t>6.5. Расчеты (обоснования) расходов на оплату работ, услуг по содержанию имущества</t>
  </si>
  <si>
    <t xml:space="preserve">Инструментальные и санитарно-гигиенические исследования </t>
  </si>
  <si>
    <t>Огнезащитная обработка пола сцены по адресу: ул. Мира, д. 15</t>
  </si>
  <si>
    <t>Гидропневматическая промывка и опрессовка системы центрального отопления</t>
  </si>
  <si>
    <t>Испытание внутреннего противопожарного водопровода , пожарных кранов по адресу: ул. Мира, д. 15</t>
  </si>
  <si>
    <t>Испытание внутреннего противопожарного водопровода, пожарных кранов по адресу: пр-кт Победы, д.3</t>
  </si>
  <si>
    <t>Испытание средств защиты: боты диэлектические, перчатки диэлектрические, указатель напряжения</t>
  </si>
  <si>
    <t>Содержание и ремонт общего имущества многоквартирного дома (пр.Победы,3)</t>
  </si>
  <si>
    <t>Содержание и ремонт общего имущества многоквартирного дома (пр. Победы, 7 )</t>
  </si>
  <si>
    <t xml:space="preserve">Содержание и ремонт сценической площадки </t>
  </si>
  <si>
    <t xml:space="preserve">6.6. Расчеты (обоснования) расходов на оплату прочих работ, услуг </t>
  </si>
  <si>
    <t xml:space="preserve">Проведение обследования и паспортизации объектов социальной инфраструктуры и услуг в приоритетных сферах жизнедеятельности инвалидов, в соответствии с "Методикой, позволяющей объективизировать и систематизировать доступность объектов и услуг в приоритетных сферах жизнедеятельности для инвалидов и других маломобильных групп населения, с возможностью учета ре.специфики", утвержденной приказом Мин.труда и соц.защиты РФ от 25.12.2012г.№627. </t>
  </si>
  <si>
    <t>Услуги пультовой охраны по адресу: проспект Победы, д. 3</t>
  </si>
  <si>
    <t>Митинг, посвященный 76-ой годовщине снятия блокады Ленинграда (Приобретение цветочной продукции: гвоздика)</t>
  </si>
  <si>
    <t>Митинг, посвященный Дню памяти воинов интернационалистов (Приобретение цветочной продукции: гвоздика)</t>
  </si>
  <si>
    <t>Концерт, посвященный присоединению Крыма и Севастополя к России (создание слайд-шоу)</t>
  </si>
  <si>
    <t>Митинг, посвященный Дню памяти и скорби  (Приобретение цветочной продукции: гвоздика)</t>
  </si>
  <si>
    <t>Митинг, посвященный 76-летней годовщине со дня начала блокады Ленинграда(1941 год) (Приобретение цветочной продукции: гвоздика)</t>
  </si>
  <si>
    <t>Митинг, посвященный Дню памяти саженным немецко-фашистскими оккупантами деревням Ленинградской области (Приобретение цветочной продукции: гвоздика)</t>
  </si>
  <si>
    <t>Митинг, посвященный Дню памяти соженным немецко-фашистскими оккупантами деревням Ленинградской области (Приобретение цветочной продукции: гвоздика)</t>
  </si>
  <si>
    <t>Митинг, посвященный  Дню неизвестного солдата в России  (Приобретение цветочной продукции: гвоздика)</t>
  </si>
  <si>
    <t>Новогодний праздник для жителей города Кириши ( озвучивание Новогодней ночи ) работа звукооператора</t>
  </si>
  <si>
    <t xml:space="preserve">Проведение  программы в рамках соревнований "Лыжня России" (Оплата работы звукооператора) </t>
  </si>
  <si>
    <t>Проведение праздничного мероприятия "Масленица" (услуги по написанию сценария)</t>
  </si>
  <si>
    <t>Проведение праздничного мероприятия "Масленица" (услуги ведущих)</t>
  </si>
  <si>
    <t>Проведение праздничного мероприятия "Масленица" (Выступление профессиональных артистов)</t>
  </si>
  <si>
    <t xml:space="preserve">Проведение праздничного мероприятия "Масленица"(Предоставление Био – туалетов) </t>
  </si>
  <si>
    <t>Проведение праздничного мероприятия "Масленица" (Услуги аниматоров )</t>
  </si>
  <si>
    <t>"День Победы" (Оплата работы звукооператора)</t>
  </si>
  <si>
    <t>День образования Ленинградской области, День строителя (Выступление творческих коллективов - приглашенные артисты)</t>
  </si>
  <si>
    <t>"Кросс нации" (Оплата работы артистов аниматоров)</t>
  </si>
  <si>
    <t>6.7. Расчеты (обоснования) расходов на страхование</t>
  </si>
  <si>
    <t>Итого по КОСГУ 227:</t>
  </si>
  <si>
    <t xml:space="preserve">6.9. Расчеты (обоснования) расходов на приобретение материальных запасов </t>
  </si>
  <si>
    <t>Средняя стоимость, рубб</t>
  </si>
  <si>
    <t>Аптечка первой помощи</t>
  </si>
  <si>
    <t>Итого по КОСГУ 341 :</t>
  </si>
  <si>
    <t>Митинг, посвященный 76-ой годовщине снятия блокады Ленинграда (Приобретение продуктов  для приготовления каши )</t>
  </si>
  <si>
    <t>Итого по КОСГУ 342 :</t>
  </si>
  <si>
    <t>Итого по КОСГУ 343 :</t>
  </si>
  <si>
    <t>Итого по КОСГУ 344 :</t>
  </si>
  <si>
    <t>Валенки взрослые (для работы на мероприятиях на улице в зимнее время)</t>
  </si>
  <si>
    <t>Итого по КОСГУ 345 :</t>
  </si>
  <si>
    <t>Митинг, посвященный 76-ой годовщине снятия блокады Ленинграда (Хозяйственные товары )</t>
  </si>
  <si>
    <t>Концерт, посвященный присоединению Крыма и Севастополя к России (бумага,картриджи и т.д.)</t>
  </si>
  <si>
    <t>Митинг, посвященный 76-ой годовщине снятия блокады Ленинграда (Приобретение  ленточек блокадных)</t>
  </si>
  <si>
    <t>Концерт, посвященный присоединению Крыма и Севастополя к России (Рекламно-информационное обеспечение: приобретение афиш)</t>
  </si>
  <si>
    <t>Митинг, посвященный Дню памяти и скорби  (Приобретение свечей, лампад)</t>
  </si>
  <si>
    <t>Проведение праздничного мероприятия "Масленица"(Материал для подготовке чучело "Масленицы": ткань, бечевка, пуговицы и т.д.)</t>
  </si>
  <si>
    <t>Фестиваль "Открытое сердце" , посвященный Дню инвалида  (Административно-хозяйственные расходы: канцелярские и хозяйственные товары для проведения меропрития)</t>
  </si>
  <si>
    <t>"Кросс нации" (Шары для оформления мероприятия)</t>
  </si>
  <si>
    <t>Проведение праздничного мероприятия "Масленица"(Рекламно-информационное обеспечение: приобретение афиш)</t>
  </si>
  <si>
    <t>Фестиваль "Открытое сердце" , посвященный Дню инвалида  (Приоретение шаров для оформления мероприятия)</t>
  </si>
  <si>
    <t>Фестиваль "Открытое сердце" , посвященный Дню инвалида (Рекламно-информационное обеспечение: приобретение афиш)</t>
  </si>
  <si>
    <t>Итого по КОСГУ 346 :</t>
  </si>
  <si>
    <t>Смотр-конкурс "Ветеранское подворье" (Приобретение наградной продукции: расписные разделочные доски, матрешки и т.п.)</t>
  </si>
  <si>
    <t>День образования Ленинградской области, День строителя (Подарочная продукция )</t>
  </si>
  <si>
    <t xml:space="preserve">Фестиваль "Открытое сердце", посвященный Дню инвалида (Приобретение призов, подарочной и сувенирной продукции, в т.ч. торты, конфеты и т.п.) </t>
  </si>
  <si>
    <t>Итого по КОСГУ 349 :</t>
  </si>
  <si>
    <t>7. Расчеты (обоснования) расходов на капитальные вложения в объекты муниципальной собственности (КВР 406, 407) (строка 2650)</t>
  </si>
  <si>
    <t>7.1. Расчеты (обоснования) расходов на оплату работ, услуг для целей капитальных вложений</t>
  </si>
  <si>
    <t>Итого по КОСГУ 228:</t>
  </si>
  <si>
    <t>7.2. Расчеты (обоснования) расходов на приобретение объектов недвижимого имущества, строительство, а также на реконструкцию, техническое перевооружение, расширение, модернизацию (модернизацию с дооборудованием) основных средств, находящихся в муниципальной собственности</t>
  </si>
  <si>
    <t>Итого по КОСГУ 310:</t>
  </si>
  <si>
    <t>7.3. Расчеты (обоснования) расходов на приобретение материальных запасов для целей капитальных вложений</t>
  </si>
  <si>
    <t>(Ткань и фурнитура для пошива костюмов )</t>
  </si>
  <si>
    <t>Итого по КОСГУ 347 :</t>
  </si>
  <si>
    <t xml:space="preserve">Плюс/минус </t>
  </si>
  <si>
    <t>КФО 4          субсидия на финансовое обеспечение выполнения муниципального задания</t>
  </si>
  <si>
    <t xml:space="preserve">плюс/минус </t>
  </si>
  <si>
    <t>Заправка картриджей</t>
  </si>
  <si>
    <t>Услуги пультовой охраны по адресу: ул. Мира, д. 15 (1 мес. -2 413,79 руб., 10 мес - 3500* 10)</t>
  </si>
  <si>
    <t>Сервисное обслуживание оборудования вениляции (Мира 15)</t>
  </si>
  <si>
    <r>
      <t>на производстве и профессиональных заболеваний по ставке 0,_ %</t>
    </r>
    <r>
      <rPr>
        <vertAlign val="superscript"/>
        <sz val="9"/>
        <rFont val="Times New Roman"/>
        <family val="1"/>
      </rPr>
      <t>*</t>
    </r>
  </si>
  <si>
    <t>Главный специалист по связям с общественностью</t>
  </si>
  <si>
    <t>Уборщик служебных помещений</t>
  </si>
  <si>
    <t>Бухгалтер 1 категории</t>
  </si>
  <si>
    <t xml:space="preserve">Теплоэнергия I полугодие по адресам:ул.Мира д.15 </t>
  </si>
  <si>
    <t>Теплоэнергия II полугодие по адресам:ул.Мира , д.15</t>
  </si>
  <si>
    <t>Проведение торжественно-траурных мероприятий, посвященных Дню памяти жертв  политических репрессий (услуги по организации и проведению выездного праздничного мероприятия)</t>
  </si>
  <si>
    <t>ДПО (обучение) на семинаре:Годовой отчет и учетная политика-2021 в бюджетной сфере</t>
  </si>
  <si>
    <t>Комплектующие и запасные части для основных средств , в том числе насос циркулярный для установки в системе отопления в здании по адресу ул.Мира, д.15</t>
  </si>
  <si>
    <t>Хозяйственные товары</t>
  </si>
  <si>
    <t xml:space="preserve">Акция "Солнечные люди" , посвященная Международному дню человека с синдромом Дауна (Создание видеоролика) </t>
  </si>
  <si>
    <t xml:space="preserve">Акция "Солнечные люди" , посвященная Международному дню человека с синдромом Дауна (Организация чаепития) </t>
  </si>
  <si>
    <t>Проведение праздничного мероприятия "Масленица"(расходный материал на конкурсы)</t>
  </si>
  <si>
    <t>Акция "Солнечные люди" , посвященная Международному дню человека с синдромом Дауна(Канцелярские и хозяйственные расходы)</t>
  </si>
  <si>
    <t>Подписка на переодические издания 2021 год: Бюджетный учет и отчетность.Зарплата в учреждении.Учет в учреждении.</t>
  </si>
  <si>
    <t xml:space="preserve">6.8. Расчеты (обоснования) расходов на приобретение основных средств </t>
  </si>
  <si>
    <t>Шкаф для пожарных кранов</t>
  </si>
  <si>
    <t>Канцелярские товары</t>
  </si>
  <si>
    <t>Установка пожарных шкафов</t>
  </si>
  <si>
    <t>Услуги  Интернет (пр.Победы,7)</t>
  </si>
  <si>
    <t>Услуги  Интернет (ул.Мира,15)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</si>
</sst>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\-??\ _₽_-;_-@_-"/>
    <numFmt numFmtId="165" formatCode="#,##0.0000"/>
    <numFmt numFmtId="166" formatCode="#,##0.000"/>
  </numFmts>
  <fonts count="52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9" fillId="0" borderId="11" xfId="0" applyNumberFormat="1" applyFont="1" applyFill="1" applyBorder="1" applyAlignment="1">
      <alignment horizontal="left"/>
    </xf>
    <xf numFmtId="2" fontId="9" fillId="0" borderId="11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" fontId="10" fillId="0" borderId="11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2" fontId="9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2" fontId="10" fillId="0" borderId="11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" fontId="10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4" fontId="9" fillId="0" borderId="11" xfId="0" applyNumberFormat="1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23" borderId="11" xfId="0" applyFont="1" applyFill="1" applyBorder="1" applyAlignment="1">
      <alignment horizontal="center"/>
    </xf>
    <xf numFmtId="4" fontId="10" fillId="23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4" fontId="13" fillId="0" borderId="11" xfId="0" applyNumberFormat="1" applyFont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4" fontId="16" fillId="33" borderId="11" xfId="0" applyNumberFormat="1" applyFont="1" applyFill="1" applyBorder="1" applyAlignment="1">
      <alignment horizontal="center"/>
    </xf>
    <xf numFmtId="4" fontId="13" fillId="33" borderId="11" xfId="0" applyNumberFormat="1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4" fontId="13" fillId="0" borderId="11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left"/>
    </xf>
    <xf numFmtId="2" fontId="13" fillId="0" borderId="11" xfId="0" applyNumberFormat="1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4" fontId="13" fillId="33" borderId="11" xfId="0" applyNumberFormat="1" applyFont="1" applyFill="1" applyBorder="1" applyAlignment="1">
      <alignment horizontal="center"/>
    </xf>
    <xf numFmtId="4" fontId="16" fillId="33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3" fillId="0" borderId="16" xfId="0" applyFont="1" applyBorder="1" applyAlignment="1">
      <alignment horizontal="left" wrapText="1"/>
    </xf>
    <xf numFmtId="4" fontId="13" fillId="0" borderId="16" xfId="0" applyNumberFormat="1" applyFont="1" applyBorder="1" applyAlignment="1">
      <alignment horizontal="center" vertical="center"/>
    </xf>
    <xf numFmtId="4" fontId="13" fillId="0" borderId="16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4" fontId="13" fillId="0" borderId="13" xfId="0" applyNumberFormat="1" applyFont="1" applyFill="1" applyBorder="1" applyAlignment="1">
      <alignment horizontal="left"/>
    </xf>
    <xf numFmtId="4" fontId="13" fillId="0" borderId="16" xfId="0" applyNumberFormat="1" applyFont="1" applyFill="1" applyBorder="1" applyAlignment="1">
      <alignment horizontal="left"/>
    </xf>
    <xf numFmtId="4" fontId="13" fillId="33" borderId="11" xfId="0" applyNumberFormat="1" applyFont="1" applyFill="1" applyBorder="1" applyAlignment="1">
      <alignment horizontal="left"/>
    </xf>
    <xf numFmtId="4" fontId="13" fillId="33" borderId="13" xfId="0" applyNumberFormat="1" applyFont="1" applyFill="1" applyBorder="1" applyAlignment="1">
      <alignment horizontal="left"/>
    </xf>
    <xf numFmtId="4" fontId="13" fillId="33" borderId="16" xfId="0" applyNumberFormat="1" applyFont="1" applyFill="1" applyBorder="1" applyAlignment="1">
      <alignment horizontal="left"/>
    </xf>
    <xf numFmtId="4" fontId="13" fillId="0" borderId="16" xfId="0" applyNumberFormat="1" applyFont="1" applyFill="1" applyBorder="1" applyAlignment="1">
      <alignment horizontal="center"/>
    </xf>
    <xf numFmtId="4" fontId="16" fillId="23" borderId="11" xfId="0" applyNumberFormat="1" applyFont="1" applyFill="1" applyBorder="1" applyAlignment="1">
      <alignment horizontal="center"/>
    </xf>
    <xf numFmtId="4" fontId="16" fillId="23" borderId="13" xfId="0" applyNumberFormat="1" applyFont="1" applyFill="1" applyBorder="1" applyAlignment="1">
      <alignment horizontal="center"/>
    </xf>
    <xf numFmtId="4" fontId="16" fillId="23" borderId="16" xfId="0" applyNumberFormat="1" applyFont="1" applyFill="1" applyBorder="1" applyAlignment="1">
      <alignment horizontal="center"/>
    </xf>
    <xf numFmtId="0" fontId="13" fillId="23" borderId="11" xfId="0" applyFont="1" applyFill="1" applyBorder="1" applyAlignment="1">
      <alignment horizontal="center"/>
    </xf>
    <xf numFmtId="2" fontId="16" fillId="23" borderId="11" xfId="0" applyNumberFormat="1" applyFont="1" applyFill="1" applyBorder="1" applyAlignment="1">
      <alignment horizontal="center"/>
    </xf>
    <xf numFmtId="0" fontId="13" fillId="23" borderId="13" xfId="0" applyFont="1" applyFill="1" applyBorder="1" applyAlignment="1">
      <alignment horizontal="center"/>
    </xf>
    <xf numFmtId="0" fontId="13" fillId="23" borderId="16" xfId="0" applyFont="1" applyFill="1" applyBorder="1" applyAlignment="1">
      <alignment horizontal="center"/>
    </xf>
    <xf numFmtId="4" fontId="16" fillId="33" borderId="1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13" fillId="0" borderId="16" xfId="0" applyNumberFormat="1" applyFont="1" applyBorder="1" applyAlignment="1">
      <alignment horizontal="center"/>
    </xf>
    <xf numFmtId="4" fontId="13" fillId="23" borderId="11" xfId="0" applyNumberFormat="1" applyFont="1" applyFill="1" applyBorder="1" applyAlignment="1">
      <alignment horizontal="left"/>
    </xf>
    <xf numFmtId="4" fontId="13" fillId="23" borderId="13" xfId="0" applyNumberFormat="1" applyFont="1" applyFill="1" applyBorder="1" applyAlignment="1">
      <alignment horizontal="left"/>
    </xf>
    <xf numFmtId="4" fontId="16" fillId="23" borderId="11" xfId="0" applyNumberFormat="1" applyFont="1" applyFill="1" applyBorder="1" applyAlignment="1">
      <alignment horizontal="left"/>
    </xf>
    <xf numFmtId="4" fontId="16" fillId="33" borderId="11" xfId="0" applyNumberFormat="1" applyFont="1" applyFill="1" applyBorder="1" applyAlignment="1">
      <alignment horizontal="center"/>
    </xf>
    <xf numFmtId="4" fontId="16" fillId="0" borderId="16" xfId="0" applyNumberFormat="1" applyFont="1" applyFill="1" applyBorder="1" applyAlignment="1">
      <alignment horizontal="center"/>
    </xf>
    <xf numFmtId="4" fontId="16" fillId="33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right"/>
    </xf>
    <xf numFmtId="0" fontId="10" fillId="23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2" fontId="9" fillId="0" borderId="11" xfId="0" applyNumberFormat="1" applyFont="1" applyBorder="1" applyAlignment="1">
      <alignment horizontal="left" wrapText="1"/>
    </xf>
    <xf numFmtId="2" fontId="9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3" fillId="0" borderId="11" xfId="0" applyFont="1" applyBorder="1" applyAlignment="1">
      <alignment horizontal="right"/>
    </xf>
    <xf numFmtId="0" fontId="13" fillId="0" borderId="17" xfId="0" applyFont="1" applyBorder="1" applyAlignment="1">
      <alignment horizontal="left" indent="1"/>
    </xf>
    <xf numFmtId="4" fontId="13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indent="1"/>
    </xf>
    <xf numFmtId="0" fontId="13" fillId="0" borderId="11" xfId="0" applyFont="1" applyBorder="1" applyAlignment="1">
      <alignment horizontal="left" indent="1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 indent="1"/>
    </xf>
    <xf numFmtId="0" fontId="16" fillId="33" borderId="11" xfId="0" applyFont="1" applyFill="1" applyBorder="1" applyAlignment="1">
      <alignment horizontal="right"/>
    </xf>
    <xf numFmtId="4" fontId="13" fillId="33" borderId="11" xfId="0" applyNumberFormat="1" applyFont="1" applyFill="1" applyBorder="1" applyAlignment="1">
      <alignment horizontal="center"/>
    </xf>
    <xf numFmtId="4" fontId="16" fillId="33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right"/>
    </xf>
    <xf numFmtId="2" fontId="13" fillId="0" borderId="11" xfId="0" applyNumberFormat="1" applyFont="1" applyFill="1" applyBorder="1" applyAlignment="1">
      <alignment horizontal="right"/>
    </xf>
    <xf numFmtId="2" fontId="13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22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center"/>
    </xf>
    <xf numFmtId="4" fontId="16" fillId="0" borderId="22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right"/>
    </xf>
    <xf numFmtId="4" fontId="16" fillId="0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6" fillId="0" borderId="16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4" fontId="13" fillId="0" borderId="16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4" fontId="13" fillId="0" borderId="16" xfId="0" applyNumberFormat="1" applyFont="1" applyFill="1" applyBorder="1" applyAlignment="1">
      <alignment horizontal="center"/>
    </xf>
    <xf numFmtId="4" fontId="14" fillId="0" borderId="16" xfId="0" applyNumberFormat="1" applyFont="1" applyFill="1" applyBorder="1" applyAlignment="1">
      <alignment horizontal="center"/>
    </xf>
    <xf numFmtId="4" fontId="16" fillId="33" borderId="16" xfId="0" applyNumberFormat="1" applyFont="1" applyFill="1" applyBorder="1" applyAlignment="1">
      <alignment horizontal="center"/>
    </xf>
    <xf numFmtId="0" fontId="13" fillId="7" borderId="23" xfId="0" applyFont="1" applyFill="1" applyBorder="1" applyAlignment="1">
      <alignment horizontal="center"/>
    </xf>
    <xf numFmtId="0" fontId="13" fillId="7" borderId="25" xfId="0" applyFont="1" applyFill="1" applyBorder="1" applyAlignment="1">
      <alignment horizontal="center"/>
    </xf>
    <xf numFmtId="0" fontId="13" fillId="7" borderId="2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center"/>
    </xf>
    <xf numFmtId="4" fontId="13" fillId="13" borderId="23" xfId="0" applyNumberFormat="1" applyFont="1" applyFill="1" applyBorder="1" applyAlignment="1">
      <alignment horizontal="center"/>
    </xf>
    <xf numFmtId="4" fontId="14" fillId="13" borderId="24" xfId="0" applyNumberFormat="1" applyFont="1" applyFill="1" applyBorder="1" applyAlignment="1">
      <alignment/>
    </xf>
    <xf numFmtId="4" fontId="14" fillId="13" borderId="27" xfId="0" applyNumberFormat="1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2" fontId="13" fillId="0" borderId="11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4" fontId="16" fillId="33" borderId="13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4" fontId="13" fillId="13" borderId="24" xfId="0" applyNumberFormat="1" applyFont="1" applyFill="1" applyBorder="1" applyAlignment="1">
      <alignment horizontal="center"/>
    </xf>
    <xf numFmtId="4" fontId="13" fillId="7" borderId="16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6" fillId="33" borderId="13" xfId="0" applyFont="1" applyFill="1" applyBorder="1" applyAlignment="1">
      <alignment horizontal="right" wrapText="1"/>
    </xf>
    <xf numFmtId="0" fontId="16" fillId="33" borderId="12" xfId="0" applyFont="1" applyFill="1" applyBorder="1" applyAlignment="1">
      <alignment horizontal="right" wrapText="1"/>
    </xf>
    <xf numFmtId="0" fontId="16" fillId="33" borderId="22" xfId="0" applyFont="1" applyFill="1" applyBorder="1" applyAlignment="1">
      <alignment horizontal="right" wrapText="1"/>
    </xf>
    <xf numFmtId="0" fontId="16" fillId="33" borderId="13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right"/>
    </xf>
    <xf numFmtId="0" fontId="16" fillId="33" borderId="22" xfId="0" applyFont="1" applyFill="1" applyBorder="1" applyAlignment="1">
      <alignment horizontal="right"/>
    </xf>
    <xf numFmtId="0" fontId="16" fillId="33" borderId="13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4" fontId="16" fillId="33" borderId="12" xfId="0" applyNumberFormat="1" applyFont="1" applyFill="1" applyBorder="1" applyAlignment="1">
      <alignment horizontal="center"/>
    </xf>
    <xf numFmtId="4" fontId="16" fillId="33" borderId="2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6" fillId="23" borderId="11" xfId="0" applyFont="1" applyFill="1" applyBorder="1" applyAlignment="1">
      <alignment horizontal="right"/>
    </xf>
    <xf numFmtId="0" fontId="13" fillId="23" borderId="11" xfId="0" applyFont="1" applyFill="1" applyBorder="1" applyAlignment="1">
      <alignment horizontal="center"/>
    </xf>
    <xf numFmtId="2" fontId="16" fillId="23" borderId="11" xfId="0" applyNumberFormat="1" applyFont="1" applyFill="1" applyBorder="1" applyAlignment="1">
      <alignment horizontal="center"/>
    </xf>
    <xf numFmtId="3" fontId="16" fillId="23" borderId="11" xfId="0" applyNumberFormat="1" applyFont="1" applyFill="1" applyBorder="1" applyAlignment="1">
      <alignment horizontal="center"/>
    </xf>
    <xf numFmtId="4" fontId="16" fillId="23" borderId="11" xfId="0" applyNumberFormat="1" applyFont="1" applyFill="1" applyBorder="1" applyAlignment="1">
      <alignment horizontal="center"/>
    </xf>
    <xf numFmtId="3" fontId="16" fillId="33" borderId="11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6" fillId="0" borderId="29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33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3" fillId="23" borderId="23" xfId="0" applyNumberFormat="1" applyFont="1" applyFill="1" applyBorder="1" applyAlignment="1">
      <alignment horizontal="center"/>
    </xf>
    <xf numFmtId="4" fontId="14" fillId="23" borderId="24" xfId="0" applyNumberFormat="1" applyFont="1" applyFill="1" applyBorder="1" applyAlignment="1">
      <alignment/>
    </xf>
    <xf numFmtId="4" fontId="14" fillId="23" borderId="27" xfId="0" applyNumberFormat="1" applyFont="1" applyFill="1" applyBorder="1" applyAlignment="1">
      <alignment/>
    </xf>
    <xf numFmtId="4" fontId="16" fillId="33" borderId="25" xfId="0" applyNumberFormat="1" applyFont="1" applyFill="1" applyBorder="1" applyAlignment="1">
      <alignment horizontal="center"/>
    </xf>
    <xf numFmtId="4" fontId="16" fillId="33" borderId="24" xfId="0" applyNumberFormat="1" applyFont="1" applyFill="1" applyBorder="1" applyAlignment="1">
      <alignment horizontal="center"/>
    </xf>
    <xf numFmtId="4" fontId="16" fillId="33" borderId="27" xfId="0" applyNumberFormat="1" applyFont="1" applyFill="1" applyBorder="1" applyAlignment="1">
      <alignment horizontal="center"/>
    </xf>
    <xf numFmtId="0" fontId="16" fillId="13" borderId="23" xfId="0" applyFont="1" applyFill="1" applyBorder="1" applyAlignment="1">
      <alignment horizontal="center"/>
    </xf>
    <xf numFmtId="0" fontId="17" fillId="13" borderId="24" xfId="0" applyFont="1" applyFill="1" applyBorder="1" applyAlignment="1">
      <alignment horizontal="center"/>
    </xf>
    <xf numFmtId="0" fontId="17" fillId="13" borderId="27" xfId="0" applyFont="1" applyFill="1" applyBorder="1" applyAlignment="1">
      <alignment horizontal="center"/>
    </xf>
    <xf numFmtId="0" fontId="16" fillId="13" borderId="37" xfId="0" applyFont="1" applyFill="1" applyBorder="1" applyAlignment="1">
      <alignment horizontal="center" vertical="top" wrapText="1"/>
    </xf>
    <xf numFmtId="0" fontId="17" fillId="13" borderId="30" xfId="0" applyFont="1" applyFill="1" applyBorder="1" applyAlignment="1">
      <alignment vertical="top" wrapText="1"/>
    </xf>
    <xf numFmtId="0" fontId="17" fillId="13" borderId="31" xfId="0" applyFont="1" applyFill="1" applyBorder="1" applyAlignment="1">
      <alignment vertical="top" wrapText="1"/>
    </xf>
    <xf numFmtId="0" fontId="17" fillId="13" borderId="38" xfId="0" applyFont="1" applyFill="1" applyBorder="1" applyAlignment="1">
      <alignment vertical="top" wrapText="1"/>
    </xf>
    <xf numFmtId="0" fontId="17" fillId="13" borderId="0" xfId="0" applyFont="1" applyFill="1" applyAlignment="1">
      <alignment vertical="top" wrapText="1"/>
    </xf>
    <xf numFmtId="0" fontId="17" fillId="13" borderId="33" xfId="0" applyFont="1" applyFill="1" applyBorder="1" applyAlignment="1">
      <alignment vertical="top" wrapText="1"/>
    </xf>
    <xf numFmtId="0" fontId="17" fillId="13" borderId="39" xfId="0" applyFont="1" applyFill="1" applyBorder="1" applyAlignment="1">
      <alignment vertical="top" wrapText="1"/>
    </xf>
    <xf numFmtId="0" fontId="17" fillId="13" borderId="35" xfId="0" applyFont="1" applyFill="1" applyBorder="1" applyAlignment="1">
      <alignment vertical="top" wrapText="1"/>
    </xf>
    <xf numFmtId="0" fontId="17" fillId="13" borderId="36" xfId="0" applyFont="1" applyFill="1" applyBorder="1" applyAlignment="1">
      <alignment vertical="top" wrapText="1"/>
    </xf>
    <xf numFmtId="4" fontId="9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13" fillId="0" borderId="1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4" fontId="13" fillId="13" borderId="16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4" fontId="16" fillId="33" borderId="23" xfId="0" applyNumberFormat="1" applyFont="1" applyFill="1" applyBorder="1" applyAlignment="1">
      <alignment horizontal="center"/>
    </xf>
    <xf numFmtId="4" fontId="17" fillId="33" borderId="24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2" fontId="13" fillId="0" borderId="16" xfId="0" applyNumberFormat="1" applyFont="1" applyBorder="1" applyAlignment="1">
      <alignment horizontal="center" vertical="center"/>
    </xf>
    <xf numFmtId="4" fontId="16" fillId="13" borderId="23" xfId="0" applyNumberFormat="1" applyFont="1" applyFill="1" applyBorder="1" applyAlignment="1">
      <alignment horizontal="center"/>
    </xf>
    <xf numFmtId="4" fontId="16" fillId="13" borderId="24" xfId="0" applyNumberFormat="1" applyFont="1" applyFill="1" applyBorder="1" applyAlignment="1">
      <alignment horizontal="center"/>
    </xf>
    <xf numFmtId="4" fontId="17" fillId="13" borderId="27" xfId="0" applyNumberFormat="1" applyFont="1" applyFill="1" applyBorder="1" applyAlignment="1">
      <alignment/>
    </xf>
    <xf numFmtId="0" fontId="13" fillId="13" borderId="23" xfId="0" applyFont="1" applyFill="1" applyBorder="1" applyAlignment="1">
      <alignment horizontal="left"/>
    </xf>
    <xf numFmtId="0" fontId="14" fillId="13" borderId="24" xfId="0" applyFont="1" applyFill="1" applyBorder="1" applyAlignment="1">
      <alignment horizontal="left"/>
    </xf>
    <xf numFmtId="0" fontId="14" fillId="13" borderId="27" xfId="0" applyFont="1" applyFill="1" applyBorder="1" applyAlignment="1">
      <alignment horizontal="left"/>
    </xf>
    <xf numFmtId="0" fontId="13" fillId="23" borderId="23" xfId="0" applyFont="1" applyFill="1" applyBorder="1" applyAlignment="1">
      <alignment horizontal="left"/>
    </xf>
    <xf numFmtId="0" fontId="14" fillId="23" borderId="24" xfId="0" applyFont="1" applyFill="1" applyBorder="1" applyAlignment="1">
      <alignment horizontal="left"/>
    </xf>
    <xf numFmtId="0" fontId="14" fillId="23" borderId="27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3" fontId="9" fillId="0" borderId="11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ena\&#1076;&#1086;&#1082;&#1091;&#1084;&#1077;&#1085;&#1090;&#1099;%20&#1074;&#1086;&#1089;&#1093;&#1086;&#1076;\&#1043;&#1051;&#1040;&#1042;&#1041;&#1059;&#1061;\&#1055;&#1083;&#1072;&#1085;%20&#1060;&#1061;&#1044;%202020%20&#1075;&#1086;&#1076;\&#1055;&#1083;&#1072;&#1085;%20&#1085;&#1072;%202020-2021-2022%20&#1075;&#1086;&#1076;\&#1055;&#1083;&#1072;&#1085;%202020-2021-2022%20&#1080;%20&#1088;&#1072;&#1089;&#1096;&#1080;&#1092;&#1088;&#1086;&#1074;&#1082;&#1080;\2.0707%20&#1050;&#1042;&#1060;&#1054;%202,4,5%20&#1089;&#1086;&#1076;.%20&#1055;&#1088;&#1080;&#1083;&#1086;&#1078;&#1077;&#1085;&#1080;&#1077;%203%20&#1082;%20&#1055;&#1086;&#1088;&#1103;&#1076;&#1082;&#1091;.doc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8"/>
    </sheetNames>
    <sheetDataSet>
      <sheetData sheetId="0">
        <row r="52">
          <cell r="J52">
            <v>10484151.140592001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J129"/>
  <sheetViews>
    <sheetView zoomScalePageLayoutView="0" workbookViewId="0" topLeftCell="A111">
      <selection activeCell="J127" sqref="J127"/>
    </sheetView>
  </sheetViews>
  <sheetFormatPr defaultColWidth="1.12109375" defaultRowHeight="12.75"/>
  <cols>
    <col min="1" max="1" width="4.00390625" style="1" customWidth="1"/>
    <col min="2" max="2" width="27.125" style="1" customWidth="1"/>
    <col min="3" max="3" width="12.875" style="1" customWidth="1"/>
    <col min="4" max="4" width="11.125" style="1" customWidth="1"/>
    <col min="5" max="5" width="12.875" style="1" customWidth="1"/>
    <col min="6" max="6" width="16.375" style="1" customWidth="1"/>
    <col min="7" max="7" width="15.00390625" style="1" customWidth="1"/>
    <col min="8" max="8" width="14.00390625" style="1" customWidth="1"/>
    <col min="9" max="9" width="13.375" style="1" customWidth="1"/>
    <col min="10" max="15" width="17.125" style="1" customWidth="1"/>
    <col min="16" max="16" width="12.875" style="1" hidden="1" customWidth="1"/>
    <col min="17" max="17" width="11.125" style="1" hidden="1" customWidth="1"/>
    <col min="18" max="18" width="12.875" style="1" hidden="1" customWidth="1"/>
    <col min="19" max="19" width="16.375" style="1" hidden="1" customWidth="1"/>
    <col min="20" max="20" width="15.00390625" style="1" hidden="1" customWidth="1"/>
    <col min="21" max="21" width="14.00390625" style="1" hidden="1" customWidth="1"/>
    <col min="22" max="22" width="13.375" style="1" hidden="1" customWidth="1"/>
    <col min="23" max="23" width="13.625" style="1" hidden="1" customWidth="1"/>
    <col min="24" max="28" width="1.12109375" style="1" hidden="1" customWidth="1"/>
    <col min="29" max="29" width="12.875" style="1" hidden="1" customWidth="1"/>
    <col min="30" max="30" width="11.125" style="1" hidden="1" customWidth="1"/>
    <col min="31" max="31" width="12.875" style="1" hidden="1" customWidth="1"/>
    <col min="32" max="32" width="16.375" style="1" hidden="1" customWidth="1"/>
    <col min="33" max="33" width="15.00390625" style="1" hidden="1" customWidth="1"/>
    <col min="34" max="34" width="14.00390625" style="1" hidden="1" customWidth="1"/>
    <col min="35" max="35" width="13.375" style="1" hidden="1" customWidth="1"/>
    <col min="36" max="36" width="13.625" style="1" hidden="1" customWidth="1"/>
    <col min="37" max="95" width="1.12109375" style="1" customWidth="1"/>
    <col min="96" max="16384" width="1.12109375" style="1" customWidth="1"/>
  </cols>
  <sheetData>
    <row r="1" spans="1:14" s="2" customFormat="1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 t="s">
        <v>0</v>
      </c>
    </row>
    <row r="2" spans="1:14" s="2" customFormat="1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 t="s">
        <v>1</v>
      </c>
    </row>
    <row r="3" spans="1:14" s="2" customFormat="1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14" s="3" customFormat="1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0"/>
    </row>
    <row r="5" spans="1:14" s="4" customFormat="1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0"/>
    </row>
    <row r="6" spans="1:14" s="4" customFormat="1" ht="10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0"/>
    </row>
    <row r="7" spans="1:14" s="4" customFormat="1" ht="12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0"/>
    </row>
    <row r="8" spans="1:14" s="4" customFormat="1" ht="12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0"/>
    </row>
    <row r="9" spans="1:14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6" customFormat="1" ht="15">
      <c r="A10" s="115" t="s">
        <v>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34" s="8" customFormat="1" ht="12.75">
      <c r="A11" s="62"/>
      <c r="B11" s="62"/>
      <c r="C11" s="62"/>
      <c r="D11" s="62"/>
      <c r="E11" s="62"/>
      <c r="F11" s="62"/>
      <c r="G11" s="62"/>
      <c r="H11" s="62"/>
      <c r="I11" s="56"/>
      <c r="J11" s="56"/>
      <c r="K11" s="56"/>
      <c r="L11" s="56"/>
      <c r="M11" s="56"/>
      <c r="N11" s="56"/>
      <c r="P11" s="7"/>
      <c r="Q11" s="7"/>
      <c r="R11" s="7"/>
      <c r="S11" s="7"/>
      <c r="T11" s="7"/>
      <c r="U11" s="7"/>
      <c r="AC11" s="7"/>
      <c r="AD11" s="7"/>
      <c r="AE11" s="7"/>
      <c r="AF11" s="7"/>
      <c r="AG11" s="7"/>
      <c r="AH11" s="7"/>
    </row>
    <row r="12" spans="1:31" s="8" customFormat="1" ht="17.25" customHeight="1">
      <c r="A12" s="56" t="s">
        <v>3</v>
      </c>
      <c r="B12" s="62"/>
      <c r="C12" s="62"/>
      <c r="D12" s="62"/>
      <c r="E12" s="62"/>
      <c r="F12" s="116" t="s">
        <v>4</v>
      </c>
      <c r="G12" s="116"/>
      <c r="H12" s="116"/>
      <c r="I12" s="116"/>
      <c r="J12" s="116"/>
      <c r="K12" s="116"/>
      <c r="L12" s="116"/>
      <c r="M12" s="116"/>
      <c r="N12" s="116"/>
      <c r="P12" s="7"/>
      <c r="Q12" s="7"/>
      <c r="R12" s="7"/>
      <c r="S12" s="9"/>
      <c r="T12" s="117"/>
      <c r="U12" s="117"/>
      <c r="V12" s="117"/>
      <c r="W12" s="117"/>
      <c r="AC12" s="7"/>
      <c r="AD12" s="7"/>
      <c r="AE12" s="7"/>
    </row>
    <row r="13" spans="1:34" s="8" customFormat="1" ht="15.75" customHeight="1">
      <c r="A13" s="62"/>
      <c r="B13" s="62"/>
      <c r="C13" s="62"/>
      <c r="D13" s="62"/>
      <c r="E13" s="62"/>
      <c r="F13" s="62"/>
      <c r="G13" s="62"/>
      <c r="H13" s="62"/>
      <c r="I13" s="56"/>
      <c r="J13" s="56"/>
      <c r="K13" s="56"/>
      <c r="L13" s="56"/>
      <c r="M13" s="56"/>
      <c r="N13" s="56"/>
      <c r="P13" s="7"/>
      <c r="Q13" s="7"/>
      <c r="R13" s="7"/>
      <c r="S13" s="7"/>
      <c r="T13" s="7"/>
      <c r="U13" s="7"/>
      <c r="AC13" s="7"/>
      <c r="AD13" s="7"/>
      <c r="AE13" s="7"/>
      <c r="AF13" s="7"/>
      <c r="AG13" s="7"/>
      <c r="AH13" s="7"/>
    </row>
    <row r="14" spans="1:34" s="6" customFormat="1" ht="15">
      <c r="A14" s="63" t="s">
        <v>5</v>
      </c>
      <c r="B14" s="63"/>
      <c r="C14" s="63"/>
      <c r="D14" s="63"/>
      <c r="E14" s="63"/>
      <c r="F14" s="63"/>
      <c r="G14" s="63"/>
      <c r="H14" s="63"/>
      <c r="I14" s="56"/>
      <c r="J14" s="56"/>
      <c r="K14" s="56"/>
      <c r="L14" s="56"/>
      <c r="M14" s="56"/>
      <c r="N14" s="56"/>
      <c r="P14" s="10"/>
      <c r="Q14" s="10"/>
      <c r="R14" s="10"/>
      <c r="S14" s="10"/>
      <c r="T14" s="10"/>
      <c r="U14" s="10"/>
      <c r="AC14" s="11"/>
      <c r="AD14" s="11"/>
      <c r="AE14" s="11"/>
      <c r="AF14" s="11"/>
      <c r="AG14" s="11"/>
      <c r="AH14" s="11"/>
    </row>
    <row r="15" s="12" customFormat="1" ht="12.75"/>
    <row r="16" spans="1:36" ht="15">
      <c r="A16" s="63" t="s">
        <v>6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P16" s="10"/>
      <c r="Q16" s="10"/>
      <c r="R16" s="10"/>
      <c r="S16" s="10"/>
      <c r="T16" s="10"/>
      <c r="U16" s="10"/>
      <c r="V16" s="10"/>
      <c r="W16" s="10"/>
      <c r="AC16" s="11"/>
      <c r="AD16" s="11"/>
      <c r="AE16" s="11"/>
      <c r="AF16" s="11"/>
      <c r="AG16" s="11"/>
      <c r="AH16" s="11"/>
      <c r="AI16" s="11"/>
      <c r="AJ16" s="11"/>
    </row>
    <row r="17" s="12" customFormat="1" ht="12.75"/>
    <row r="18" spans="1:34" s="12" customFormat="1" ht="12.75" customHeight="1">
      <c r="A18" s="118" t="s">
        <v>7</v>
      </c>
      <c r="B18" s="119" t="s">
        <v>8</v>
      </c>
      <c r="C18" s="118" t="s">
        <v>9</v>
      </c>
      <c r="D18" s="120" t="s">
        <v>10</v>
      </c>
      <c r="E18" s="120"/>
      <c r="F18" s="120"/>
      <c r="G18" s="120"/>
      <c r="H18" s="118" t="s">
        <v>11</v>
      </c>
      <c r="I18" s="120" t="s">
        <v>12</v>
      </c>
      <c r="J18" s="120"/>
      <c r="K18" s="120"/>
      <c r="L18" s="120"/>
      <c r="M18" s="120"/>
      <c r="N18" s="120"/>
      <c r="P18" s="118" t="s">
        <v>9</v>
      </c>
      <c r="Q18" s="120" t="s">
        <v>10</v>
      </c>
      <c r="R18" s="120"/>
      <c r="S18" s="120"/>
      <c r="T18" s="120"/>
      <c r="U18" s="118" t="s">
        <v>11</v>
      </c>
      <c r="V18" s="121" t="s">
        <v>12</v>
      </c>
      <c r="W18" s="121"/>
      <c r="AC18" s="118" t="s">
        <v>9</v>
      </c>
      <c r="AD18" s="120" t="s">
        <v>10</v>
      </c>
      <c r="AE18" s="120"/>
      <c r="AF18" s="120"/>
      <c r="AG18" s="120"/>
      <c r="AH18" s="118" t="s">
        <v>11</v>
      </c>
    </row>
    <row r="19" spans="1:36" s="12" customFormat="1" ht="76.5" customHeight="1">
      <c r="A19" s="118"/>
      <c r="B19" s="119"/>
      <c r="C19" s="118"/>
      <c r="D19" s="118" t="s">
        <v>13</v>
      </c>
      <c r="E19" s="118" t="s">
        <v>14</v>
      </c>
      <c r="F19" s="118" t="s">
        <v>15</v>
      </c>
      <c r="G19" s="118" t="s">
        <v>16</v>
      </c>
      <c r="H19" s="118"/>
      <c r="I19" s="118" t="s">
        <v>17</v>
      </c>
      <c r="J19" s="118"/>
      <c r="K19" s="118" t="s">
        <v>18</v>
      </c>
      <c r="L19" s="118"/>
      <c r="M19" s="118"/>
      <c r="N19" s="124" t="s">
        <v>19</v>
      </c>
      <c r="P19" s="118"/>
      <c r="Q19" s="118" t="s">
        <v>13</v>
      </c>
      <c r="R19" s="118" t="s">
        <v>14</v>
      </c>
      <c r="S19" s="118" t="s">
        <v>15</v>
      </c>
      <c r="T19" s="118" t="s">
        <v>16</v>
      </c>
      <c r="U19" s="118"/>
      <c r="V19" s="118" t="s">
        <v>17</v>
      </c>
      <c r="W19" s="118"/>
      <c r="AC19" s="118"/>
      <c r="AD19" s="118" t="s">
        <v>13</v>
      </c>
      <c r="AE19" s="118" t="s">
        <v>14</v>
      </c>
      <c r="AF19" s="118" t="s">
        <v>15</v>
      </c>
      <c r="AG19" s="118" t="s">
        <v>16</v>
      </c>
      <c r="AH19" s="118"/>
      <c r="AI19" s="118" t="s">
        <v>17</v>
      </c>
      <c r="AJ19" s="118"/>
    </row>
    <row r="20" spans="1:36" s="12" customFormat="1" ht="39" customHeight="1">
      <c r="A20" s="118"/>
      <c r="B20" s="119"/>
      <c r="C20" s="118"/>
      <c r="D20" s="118"/>
      <c r="E20" s="118"/>
      <c r="F20" s="118"/>
      <c r="G20" s="118"/>
      <c r="H20" s="118"/>
      <c r="I20" s="13" t="s">
        <v>20</v>
      </c>
      <c r="J20" s="13" t="s">
        <v>21</v>
      </c>
      <c r="K20" s="13" t="s">
        <v>22</v>
      </c>
      <c r="L20" s="13" t="s">
        <v>20</v>
      </c>
      <c r="M20" s="13" t="s">
        <v>21</v>
      </c>
      <c r="N20" s="124"/>
      <c r="P20" s="118"/>
      <c r="Q20" s="118"/>
      <c r="R20" s="118"/>
      <c r="S20" s="118"/>
      <c r="T20" s="118"/>
      <c r="U20" s="118"/>
      <c r="V20" s="13" t="s">
        <v>20</v>
      </c>
      <c r="W20" s="13" t="s">
        <v>21</v>
      </c>
      <c r="AC20" s="118"/>
      <c r="AD20" s="118"/>
      <c r="AE20" s="118"/>
      <c r="AF20" s="118"/>
      <c r="AG20" s="118"/>
      <c r="AH20" s="118"/>
      <c r="AI20" s="13" t="s">
        <v>20</v>
      </c>
      <c r="AJ20" s="13" t="s">
        <v>21</v>
      </c>
    </row>
    <row r="21" spans="1:36" s="12" customFormat="1" ht="12.75">
      <c r="A21" s="15">
        <v>1</v>
      </c>
      <c r="B21" s="15">
        <v>2</v>
      </c>
      <c r="C21" s="15">
        <v>3</v>
      </c>
      <c r="D21" s="15" t="s">
        <v>23</v>
      </c>
      <c r="E21" s="15">
        <v>5</v>
      </c>
      <c r="F21" s="15">
        <v>6</v>
      </c>
      <c r="G21" s="15">
        <v>7</v>
      </c>
      <c r="H21" s="15" t="s">
        <v>24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P21" s="15">
        <v>3</v>
      </c>
      <c r="Q21" s="15" t="s">
        <v>23</v>
      </c>
      <c r="R21" s="15">
        <v>5</v>
      </c>
      <c r="S21" s="15">
        <v>6</v>
      </c>
      <c r="T21" s="15">
        <v>7</v>
      </c>
      <c r="U21" s="15" t="s">
        <v>24</v>
      </c>
      <c r="V21" s="14">
        <v>9</v>
      </c>
      <c r="W21" s="14">
        <v>10</v>
      </c>
      <c r="AC21" s="15">
        <v>3</v>
      </c>
      <c r="AD21" s="15" t="s">
        <v>23</v>
      </c>
      <c r="AE21" s="15">
        <v>5</v>
      </c>
      <c r="AF21" s="15">
        <v>6</v>
      </c>
      <c r="AG21" s="15">
        <v>7</v>
      </c>
      <c r="AH21" s="15" t="s">
        <v>24</v>
      </c>
      <c r="AI21" s="14">
        <v>9</v>
      </c>
      <c r="AJ21" s="14">
        <v>10</v>
      </c>
    </row>
    <row r="22" spans="1:36" s="12" customFormat="1" ht="12.75">
      <c r="A22" s="15">
        <v>1</v>
      </c>
      <c r="B22" s="16" t="s">
        <v>25</v>
      </c>
      <c r="C22" s="15">
        <v>1</v>
      </c>
      <c r="D22" s="17">
        <f aca="true" t="shared" si="0" ref="D22:D42">E22+F22+G22</f>
        <v>11121.929999999997</v>
      </c>
      <c r="E22" s="17">
        <f>58149-50403.55</f>
        <v>7745.449999999997</v>
      </c>
      <c r="F22" s="17"/>
      <c r="G22" s="17">
        <v>3376.48</v>
      </c>
      <c r="H22" s="17">
        <f>D22*C22*12+0.02</f>
        <v>133463.17999999996</v>
      </c>
      <c r="I22" s="18"/>
      <c r="J22" s="18">
        <f aca="true" t="shared" si="1" ref="J22:J42">H22</f>
        <v>133463.17999999996</v>
      </c>
      <c r="K22" s="14"/>
      <c r="L22" s="14"/>
      <c r="M22" s="14"/>
      <c r="N22" s="14"/>
      <c r="P22" s="15">
        <v>1</v>
      </c>
      <c r="Q22" s="17">
        <f aca="true" t="shared" si="2" ref="Q22:Q42">R22+S22+T22</f>
        <v>83552.88</v>
      </c>
      <c r="R22" s="17">
        <v>50638.11</v>
      </c>
      <c r="S22" s="17"/>
      <c r="T22" s="17">
        <v>32914.77</v>
      </c>
      <c r="U22" s="17">
        <f aca="true" t="shared" si="3" ref="U22:U28">Q22*P22*12</f>
        <v>1002634.56</v>
      </c>
      <c r="V22" s="18"/>
      <c r="W22" s="18">
        <f aca="true" t="shared" si="4" ref="W22:W42">U22</f>
        <v>1002634.56</v>
      </c>
      <c r="AC22" s="15">
        <v>1</v>
      </c>
      <c r="AD22" s="17">
        <f aca="true" t="shared" si="5" ref="AD22:AD42">AE22+AF22+AG22</f>
        <v>72430.948208</v>
      </c>
      <c r="AE22" s="17">
        <f>50638.11*86.68/100</f>
        <v>43893.113748</v>
      </c>
      <c r="AF22" s="17"/>
      <c r="AG22" s="17">
        <f>32914.7*86.68/100+7.3725</f>
        <v>28537.834460000002</v>
      </c>
      <c r="AH22" s="17">
        <f aca="true" t="shared" si="6" ref="AH22:AH40">AD22*AC22*12</f>
        <v>869171.3784960001</v>
      </c>
      <c r="AI22" s="18"/>
      <c r="AJ22" s="18">
        <f aca="true" t="shared" si="7" ref="AJ22:AJ42">AH22</f>
        <v>869171.3784960001</v>
      </c>
    </row>
    <row r="23" spans="1:36" s="12" customFormat="1" ht="12.75">
      <c r="A23" s="15">
        <f aca="true" t="shared" si="8" ref="A23:A42">A22+1</f>
        <v>2</v>
      </c>
      <c r="B23" s="16" t="s">
        <v>26</v>
      </c>
      <c r="C23" s="15">
        <v>1</v>
      </c>
      <c r="D23" s="17">
        <f t="shared" si="0"/>
        <v>10046.399999999996</v>
      </c>
      <c r="E23" s="17">
        <f>52334.1-45342.26</f>
        <v>6991.8399999999965</v>
      </c>
      <c r="F23" s="17"/>
      <c r="G23" s="17">
        <v>3054.56</v>
      </c>
      <c r="H23" s="17">
        <f>D23*C23*12-0.01</f>
        <v>120556.78999999996</v>
      </c>
      <c r="I23" s="18"/>
      <c r="J23" s="18">
        <f t="shared" si="1"/>
        <v>120556.78999999996</v>
      </c>
      <c r="K23" s="14"/>
      <c r="L23" s="14"/>
      <c r="M23" s="14"/>
      <c r="N23" s="14"/>
      <c r="P23" s="15">
        <v>1</v>
      </c>
      <c r="Q23" s="17">
        <f t="shared" si="2"/>
        <v>75197.6</v>
      </c>
      <c r="R23" s="17">
        <v>45574.3</v>
      </c>
      <c r="S23" s="17"/>
      <c r="T23" s="17">
        <v>29623.3</v>
      </c>
      <c r="U23" s="17">
        <f t="shared" si="3"/>
        <v>902371.2000000001</v>
      </c>
      <c r="V23" s="18"/>
      <c r="W23" s="18">
        <f t="shared" si="4"/>
        <v>902371.2000000001</v>
      </c>
      <c r="AC23" s="15">
        <v>1</v>
      </c>
      <c r="AD23" s="17">
        <f t="shared" si="5"/>
        <v>65151.20064</v>
      </c>
      <c r="AE23" s="17">
        <f>45574.3*86.64/100</f>
        <v>39485.573520000005</v>
      </c>
      <c r="AF23" s="17"/>
      <c r="AG23" s="17">
        <f>29623.3*86.64/100</f>
        <v>25665.627119999997</v>
      </c>
      <c r="AH23" s="17">
        <f t="shared" si="6"/>
        <v>781814.4076800001</v>
      </c>
      <c r="AI23" s="18"/>
      <c r="AJ23" s="18">
        <f t="shared" si="7"/>
        <v>781814.4076800001</v>
      </c>
    </row>
    <row r="24" spans="1:36" s="12" customFormat="1" ht="12.75">
      <c r="A24" s="15">
        <f t="shared" si="8"/>
        <v>3</v>
      </c>
      <c r="B24" s="16" t="s">
        <v>27</v>
      </c>
      <c r="C24" s="15">
        <v>1</v>
      </c>
      <c r="D24" s="17">
        <f t="shared" si="0"/>
        <v>8930.129999999997</v>
      </c>
      <c r="E24" s="17">
        <f>52334.1-45342.26</f>
        <v>6991.8399999999965</v>
      </c>
      <c r="F24" s="17"/>
      <c r="G24" s="17">
        <v>1938.29</v>
      </c>
      <c r="H24" s="17">
        <f>D24*C24*12+0.03</f>
        <v>107161.58999999997</v>
      </c>
      <c r="I24" s="18"/>
      <c r="J24" s="18">
        <f t="shared" si="1"/>
        <v>107161.58999999997</v>
      </c>
      <c r="K24" s="19"/>
      <c r="L24" s="19"/>
      <c r="M24" s="19"/>
      <c r="N24" s="19"/>
      <c r="P24" s="15">
        <v>1</v>
      </c>
      <c r="Q24" s="17">
        <f t="shared" si="2"/>
        <v>66842.31</v>
      </c>
      <c r="R24" s="17">
        <v>40510.49</v>
      </c>
      <c r="S24" s="17"/>
      <c r="T24" s="17">
        <v>26331.82</v>
      </c>
      <c r="U24" s="17">
        <f t="shared" si="3"/>
        <v>802107.72</v>
      </c>
      <c r="V24" s="18"/>
      <c r="W24" s="18">
        <f t="shared" si="4"/>
        <v>802107.72</v>
      </c>
      <c r="AC24" s="15">
        <v>1</v>
      </c>
      <c r="AD24" s="17">
        <f t="shared" si="5"/>
        <v>57912.177384</v>
      </c>
      <c r="AE24" s="17">
        <f>40510.49*86.64/100</f>
        <v>35098.288536</v>
      </c>
      <c r="AF24" s="17"/>
      <c r="AG24" s="17">
        <f>26331.82*86.64/100</f>
        <v>22813.888848000002</v>
      </c>
      <c r="AH24" s="17">
        <f t="shared" si="6"/>
        <v>694946.128608</v>
      </c>
      <c r="AI24" s="18"/>
      <c r="AJ24" s="18">
        <f t="shared" si="7"/>
        <v>694946.128608</v>
      </c>
    </row>
    <row r="25" spans="1:36" s="12" customFormat="1" ht="12.75">
      <c r="A25" s="15">
        <f t="shared" si="8"/>
        <v>4</v>
      </c>
      <c r="B25" s="16" t="s">
        <v>28</v>
      </c>
      <c r="C25" s="15">
        <v>1</v>
      </c>
      <c r="D25" s="17">
        <f t="shared" si="0"/>
        <v>4741.48</v>
      </c>
      <c r="E25" s="17">
        <f>30814-26697.25</f>
        <v>4116.75</v>
      </c>
      <c r="F25" s="17"/>
      <c r="G25" s="17">
        <v>624.73</v>
      </c>
      <c r="H25" s="17">
        <f>D25*C25*12+0.03</f>
        <v>56897.78999999999</v>
      </c>
      <c r="I25" s="18"/>
      <c r="J25" s="18">
        <f t="shared" si="1"/>
        <v>56897.78999999999</v>
      </c>
      <c r="K25" s="14"/>
      <c r="L25" s="14"/>
      <c r="M25" s="14"/>
      <c r="N25" s="14"/>
      <c r="P25" s="15">
        <v>1</v>
      </c>
      <c r="Q25" s="17">
        <f t="shared" si="2"/>
        <v>35490.14</v>
      </c>
      <c r="R25" s="17">
        <v>21509.17</v>
      </c>
      <c r="S25" s="17"/>
      <c r="T25" s="17">
        <f>2150.92+8603.67+3226.38</f>
        <v>13980.970000000001</v>
      </c>
      <c r="U25" s="17">
        <f t="shared" si="3"/>
        <v>425881.68</v>
      </c>
      <c r="V25" s="18"/>
      <c r="W25" s="18">
        <f t="shared" si="4"/>
        <v>425881.68</v>
      </c>
      <c r="AC25" s="15">
        <v>1</v>
      </c>
      <c r="AD25" s="17">
        <f t="shared" si="5"/>
        <v>30748.657296</v>
      </c>
      <c r="AE25" s="17">
        <f>21509.17*86.64/100</f>
        <v>18635.544888</v>
      </c>
      <c r="AF25" s="17"/>
      <c r="AG25" s="17">
        <f>(2150.92+8603.67+3226.38)*86.64/100</f>
        <v>12113.112408</v>
      </c>
      <c r="AH25" s="17">
        <f t="shared" si="6"/>
        <v>368983.887552</v>
      </c>
      <c r="AI25" s="18"/>
      <c r="AJ25" s="18">
        <f t="shared" si="7"/>
        <v>368983.887552</v>
      </c>
    </row>
    <row r="26" spans="1:36" s="12" customFormat="1" ht="26.25">
      <c r="A26" s="15">
        <f t="shared" si="8"/>
        <v>5</v>
      </c>
      <c r="B26" s="20" t="s">
        <v>250</v>
      </c>
      <c r="C26" s="15">
        <v>1</v>
      </c>
      <c r="D26" s="17">
        <f t="shared" si="0"/>
        <v>4238.609999999999</v>
      </c>
      <c r="E26" s="17">
        <f>24850-21530.04</f>
        <v>3319.959999999999</v>
      </c>
      <c r="F26" s="17"/>
      <c r="G26" s="17">
        <v>918.65</v>
      </c>
      <c r="H26" s="17">
        <f>D26*C26*12-0.04</f>
        <v>50863.279999999984</v>
      </c>
      <c r="I26" s="18"/>
      <c r="J26" s="18">
        <f t="shared" si="1"/>
        <v>50863.279999999984</v>
      </c>
      <c r="K26" s="14"/>
      <c r="L26" s="14"/>
      <c r="M26" s="14"/>
      <c r="N26" s="14"/>
      <c r="P26" s="15">
        <v>1</v>
      </c>
      <c r="Q26" s="17">
        <f t="shared" si="2"/>
        <v>31726.1</v>
      </c>
      <c r="R26" s="17">
        <v>19227.94</v>
      </c>
      <c r="S26" s="17"/>
      <c r="T26" s="17">
        <f>1922.79+7691.18+2884.19</f>
        <v>12498.160000000002</v>
      </c>
      <c r="U26" s="17">
        <f t="shared" si="3"/>
        <v>380713.19999999995</v>
      </c>
      <c r="V26" s="18"/>
      <c r="W26" s="18">
        <f t="shared" si="4"/>
        <v>380713.19999999995</v>
      </c>
      <c r="AC26" s="15">
        <v>1</v>
      </c>
      <c r="AD26" s="17">
        <f t="shared" si="5"/>
        <v>27487.49304</v>
      </c>
      <c r="AE26" s="17">
        <f>19227.94*86.64/100</f>
        <v>16659.087216</v>
      </c>
      <c r="AF26" s="17"/>
      <c r="AG26" s="17">
        <f>(1922.79+7691.18+2884.19)*86.64/100</f>
        <v>10828.405824000001</v>
      </c>
      <c r="AH26" s="17">
        <f t="shared" si="6"/>
        <v>329849.91648</v>
      </c>
      <c r="AI26" s="18"/>
      <c r="AJ26" s="18">
        <f t="shared" si="7"/>
        <v>329849.91648</v>
      </c>
    </row>
    <row r="27" spans="1:36" s="12" customFormat="1" ht="12.75">
      <c r="A27" s="15">
        <f t="shared" si="8"/>
        <v>6</v>
      </c>
      <c r="B27" s="16" t="s">
        <v>29</v>
      </c>
      <c r="C27" s="15">
        <v>1</v>
      </c>
      <c r="D27" s="17">
        <f t="shared" si="0"/>
        <v>3951.3400000000006</v>
      </c>
      <c r="E27" s="17">
        <f>22862-19807.64</f>
        <v>3054.3600000000006</v>
      </c>
      <c r="F27" s="17"/>
      <c r="G27" s="17">
        <v>896.98</v>
      </c>
      <c r="H27" s="17">
        <f>D27*C27*12+0.03</f>
        <v>47416.11000000001</v>
      </c>
      <c r="I27" s="18"/>
      <c r="J27" s="18">
        <f t="shared" si="1"/>
        <v>47416.11000000001</v>
      </c>
      <c r="K27" s="19"/>
      <c r="L27" s="19"/>
      <c r="M27" s="19"/>
      <c r="N27" s="19"/>
      <c r="P27" s="15">
        <v>1</v>
      </c>
      <c r="Q27" s="17">
        <f t="shared" si="2"/>
        <v>29575.92</v>
      </c>
      <c r="R27" s="17">
        <v>17924.8</v>
      </c>
      <c r="S27" s="17"/>
      <c r="T27" s="17">
        <f>1792.48+7169.92+2688.72</f>
        <v>11651.119999999999</v>
      </c>
      <c r="U27" s="17">
        <f t="shared" si="3"/>
        <v>354911.04</v>
      </c>
      <c r="V27" s="18"/>
      <c r="W27" s="18">
        <f t="shared" si="4"/>
        <v>354911.04</v>
      </c>
      <c r="AC27" s="15">
        <v>1</v>
      </c>
      <c r="AD27" s="17">
        <f t="shared" si="5"/>
        <v>25624.577088</v>
      </c>
      <c r="AE27" s="17">
        <f>17924.8*86.64/100</f>
        <v>15530.04672</v>
      </c>
      <c r="AF27" s="17"/>
      <c r="AG27" s="17">
        <f>(1792.48+7169.92+2688.72)*86.64/100</f>
        <v>10094.530368</v>
      </c>
      <c r="AH27" s="17">
        <f t="shared" si="6"/>
        <v>307494.925056</v>
      </c>
      <c r="AI27" s="18"/>
      <c r="AJ27" s="18">
        <f t="shared" si="7"/>
        <v>307494.925056</v>
      </c>
    </row>
    <row r="28" spans="1:36" s="12" customFormat="1" ht="12.75">
      <c r="A28" s="15">
        <f t="shared" si="8"/>
        <v>7</v>
      </c>
      <c r="B28" s="16" t="s">
        <v>30</v>
      </c>
      <c r="C28" s="15">
        <v>1</v>
      </c>
      <c r="D28" s="17">
        <f t="shared" si="0"/>
        <v>3304.7299999999996</v>
      </c>
      <c r="E28" s="17">
        <f>19383-16793.43</f>
        <v>2589.5699999999997</v>
      </c>
      <c r="F28" s="17"/>
      <c r="G28" s="17">
        <v>715.16</v>
      </c>
      <c r="H28" s="17">
        <f>D28*C28*12-0.02</f>
        <v>39656.74</v>
      </c>
      <c r="I28" s="18"/>
      <c r="J28" s="18">
        <f t="shared" si="1"/>
        <v>39656.74</v>
      </c>
      <c r="K28" s="14"/>
      <c r="L28" s="14"/>
      <c r="M28" s="14"/>
      <c r="N28" s="14"/>
      <c r="P28" s="15">
        <v>1</v>
      </c>
      <c r="Q28" s="17">
        <f t="shared" si="2"/>
        <v>24735.989999999998</v>
      </c>
      <c r="R28" s="17">
        <v>14991.51</v>
      </c>
      <c r="S28" s="17"/>
      <c r="T28" s="17">
        <f>1499.15+5996.6+2248.73</f>
        <v>9744.48</v>
      </c>
      <c r="U28" s="17">
        <f t="shared" si="3"/>
        <v>296831.88</v>
      </c>
      <c r="V28" s="18"/>
      <c r="W28" s="18">
        <f t="shared" si="4"/>
        <v>296831.88</v>
      </c>
      <c r="AC28" s="15">
        <v>1</v>
      </c>
      <c r="AD28" s="17">
        <f t="shared" si="5"/>
        <v>21431.261736</v>
      </c>
      <c r="AE28" s="17">
        <f>14991.51*86.64/100</f>
        <v>12988.644264</v>
      </c>
      <c r="AF28" s="17"/>
      <c r="AG28" s="17">
        <f>(1499.15+5996.6+2248.73)*86.64/100</f>
        <v>8442.617472</v>
      </c>
      <c r="AH28" s="17">
        <f t="shared" si="6"/>
        <v>257175.140832</v>
      </c>
      <c r="AI28" s="18"/>
      <c r="AJ28" s="18">
        <f t="shared" si="7"/>
        <v>257175.140832</v>
      </c>
    </row>
    <row r="29" spans="1:36" s="12" customFormat="1" ht="12.75">
      <c r="A29" s="15">
        <f t="shared" si="8"/>
        <v>8</v>
      </c>
      <c r="B29" s="16" t="s">
        <v>31</v>
      </c>
      <c r="C29" s="15">
        <v>0.5</v>
      </c>
      <c r="D29" s="17">
        <f t="shared" si="0"/>
        <v>3304.7299999999996</v>
      </c>
      <c r="E29" s="17">
        <f>19383-16793.43</f>
        <v>2589.5699999999997</v>
      </c>
      <c r="F29" s="17"/>
      <c r="G29" s="17">
        <v>715.16</v>
      </c>
      <c r="H29" s="17">
        <f>D29*C29*12+0.05</f>
        <v>19828.429999999997</v>
      </c>
      <c r="I29" s="18"/>
      <c r="J29" s="18">
        <f t="shared" si="1"/>
        <v>19828.429999999997</v>
      </c>
      <c r="K29" s="19"/>
      <c r="L29" s="19"/>
      <c r="M29" s="19"/>
      <c r="N29" s="19"/>
      <c r="P29" s="15">
        <v>0.5</v>
      </c>
      <c r="Q29" s="17">
        <f t="shared" si="2"/>
        <v>24735.989999999998</v>
      </c>
      <c r="R29" s="17">
        <v>14991.51</v>
      </c>
      <c r="S29" s="17"/>
      <c r="T29" s="17">
        <f>1499.15+5996.6+2248.73</f>
        <v>9744.48</v>
      </c>
      <c r="U29" s="17">
        <f>Q29*P29*12+0.06</f>
        <v>148416</v>
      </c>
      <c r="V29" s="18"/>
      <c r="W29" s="18">
        <f t="shared" si="4"/>
        <v>148416</v>
      </c>
      <c r="AC29" s="15">
        <v>0.5</v>
      </c>
      <c r="AD29" s="17">
        <f t="shared" si="5"/>
        <v>21431.261736</v>
      </c>
      <c r="AE29" s="17">
        <f>14991.51*86.64/100</f>
        <v>12988.644264</v>
      </c>
      <c r="AF29" s="17"/>
      <c r="AG29" s="17">
        <f>(1499.15+5996.6+2248.73)*86.64/100</f>
        <v>8442.617472</v>
      </c>
      <c r="AH29" s="17">
        <f t="shared" si="6"/>
        <v>128587.570416</v>
      </c>
      <c r="AI29" s="18"/>
      <c r="AJ29" s="18">
        <f t="shared" si="7"/>
        <v>128587.570416</v>
      </c>
    </row>
    <row r="30" spans="1:36" s="12" customFormat="1" ht="12.75">
      <c r="A30" s="15">
        <f t="shared" si="8"/>
        <v>9</v>
      </c>
      <c r="B30" s="16" t="s">
        <v>32</v>
      </c>
      <c r="C30" s="15">
        <v>0.5</v>
      </c>
      <c r="D30" s="17">
        <f t="shared" si="0"/>
        <v>3304.7299999999996</v>
      </c>
      <c r="E30" s="17">
        <f>19383-16793.43</f>
        <v>2589.5699999999997</v>
      </c>
      <c r="F30" s="17"/>
      <c r="G30" s="17">
        <v>715.16</v>
      </c>
      <c r="H30" s="17">
        <f>D30*C30*12+0.05</f>
        <v>19828.429999999997</v>
      </c>
      <c r="I30" s="18"/>
      <c r="J30" s="18">
        <f t="shared" si="1"/>
        <v>19828.429999999997</v>
      </c>
      <c r="K30" s="14"/>
      <c r="L30" s="14"/>
      <c r="M30" s="14"/>
      <c r="N30" s="14"/>
      <c r="P30" s="15">
        <v>0.5</v>
      </c>
      <c r="Q30" s="17">
        <f t="shared" si="2"/>
        <v>24735.989999999998</v>
      </c>
      <c r="R30" s="17">
        <v>14991.51</v>
      </c>
      <c r="S30" s="17"/>
      <c r="T30" s="17">
        <f>1499.15+5996.6+2248.73</f>
        <v>9744.48</v>
      </c>
      <c r="U30" s="17">
        <f>Q30*P30*12+0.06</f>
        <v>148416</v>
      </c>
      <c r="V30" s="18"/>
      <c r="W30" s="18">
        <f t="shared" si="4"/>
        <v>148416</v>
      </c>
      <c r="AC30" s="15">
        <v>0.5</v>
      </c>
      <c r="AD30" s="17">
        <f t="shared" si="5"/>
        <v>21431.261736</v>
      </c>
      <c r="AE30" s="17">
        <f>14991.51*86.64/100</f>
        <v>12988.644264</v>
      </c>
      <c r="AF30" s="17"/>
      <c r="AG30" s="17">
        <f>(1499.15+5996.6+2248.73)*86.64/100</f>
        <v>8442.617472</v>
      </c>
      <c r="AH30" s="17">
        <f t="shared" si="6"/>
        <v>128587.570416</v>
      </c>
      <c r="AI30" s="18"/>
      <c r="AJ30" s="18">
        <f t="shared" si="7"/>
        <v>128587.570416</v>
      </c>
    </row>
    <row r="31" spans="1:36" s="12" customFormat="1" ht="26.25">
      <c r="A31" s="15">
        <f t="shared" si="8"/>
        <v>10</v>
      </c>
      <c r="B31" s="20" t="s">
        <v>33</v>
      </c>
      <c r="C31" s="15">
        <v>1</v>
      </c>
      <c r="D31" s="17">
        <f>E31+F31+G31</f>
        <v>3304.7299999999996</v>
      </c>
      <c r="E31" s="17">
        <f>19383-16793.43</f>
        <v>2589.5699999999997</v>
      </c>
      <c r="F31" s="17"/>
      <c r="G31" s="17">
        <v>715.16</v>
      </c>
      <c r="H31" s="17">
        <f>D31*C31*12-0.02</f>
        <v>39656.74</v>
      </c>
      <c r="I31" s="18"/>
      <c r="J31" s="18">
        <f t="shared" si="1"/>
        <v>39656.74</v>
      </c>
      <c r="K31" s="14"/>
      <c r="L31" s="14"/>
      <c r="M31" s="14"/>
      <c r="N31" s="14"/>
      <c r="P31" s="15">
        <v>1</v>
      </c>
      <c r="Q31" s="17">
        <f t="shared" si="2"/>
        <v>24735.989999999998</v>
      </c>
      <c r="R31" s="17">
        <v>14991.51</v>
      </c>
      <c r="S31" s="17"/>
      <c r="T31" s="17">
        <f>1499.15+5996.6+2248.73</f>
        <v>9744.48</v>
      </c>
      <c r="U31" s="17">
        <f aca="true" t="shared" si="9" ref="U31:U40">Q31*P31*12</f>
        <v>296831.88</v>
      </c>
      <c r="V31" s="18"/>
      <c r="W31" s="18">
        <f t="shared" si="4"/>
        <v>296831.88</v>
      </c>
      <c r="AC31" s="15">
        <v>1</v>
      </c>
      <c r="AD31" s="17">
        <f t="shared" si="5"/>
        <v>21431.261736</v>
      </c>
      <c r="AE31" s="17">
        <f>14991.51*86.64/100</f>
        <v>12988.644264</v>
      </c>
      <c r="AF31" s="17"/>
      <c r="AG31" s="17">
        <f>(1499.15+5996.6+2248.73)*86.64/100</f>
        <v>8442.617472</v>
      </c>
      <c r="AH31" s="17">
        <f t="shared" si="6"/>
        <v>257175.140832</v>
      </c>
      <c r="AI31" s="18"/>
      <c r="AJ31" s="18">
        <f t="shared" si="7"/>
        <v>257175.140832</v>
      </c>
    </row>
    <row r="32" spans="1:36" s="12" customFormat="1" ht="12.75">
      <c r="A32" s="15">
        <f t="shared" si="8"/>
        <v>11</v>
      </c>
      <c r="B32" s="20" t="s">
        <v>34</v>
      </c>
      <c r="C32" s="15">
        <v>0.5</v>
      </c>
      <c r="D32" s="17">
        <f t="shared" si="0"/>
        <v>2981.53</v>
      </c>
      <c r="E32" s="17">
        <f>11431-9903.82</f>
        <v>1527.1800000000003</v>
      </c>
      <c r="F32" s="17"/>
      <c r="G32" s="17">
        <v>1454.35</v>
      </c>
      <c r="H32" s="17">
        <f>D32*C32*12</f>
        <v>17889.18</v>
      </c>
      <c r="I32" s="18"/>
      <c r="J32" s="18">
        <f t="shared" si="1"/>
        <v>17889.18</v>
      </c>
      <c r="K32" s="19"/>
      <c r="L32" s="19"/>
      <c r="M32" s="19"/>
      <c r="N32" s="19"/>
      <c r="P32" s="15">
        <v>0.5</v>
      </c>
      <c r="Q32" s="17">
        <f t="shared" si="2"/>
        <v>22316.84</v>
      </c>
      <c r="R32" s="17">
        <v>13525.36</v>
      </c>
      <c r="S32" s="17"/>
      <c r="T32" s="17">
        <f>1352.54+5410.14+2028.8</f>
        <v>8791.48</v>
      </c>
      <c r="U32" s="17">
        <f t="shared" si="9"/>
        <v>133901.04</v>
      </c>
      <c r="V32" s="18"/>
      <c r="W32" s="18">
        <f t="shared" si="4"/>
        <v>133901.04</v>
      </c>
      <c r="AC32" s="15">
        <v>0.5</v>
      </c>
      <c r="AD32" s="17">
        <f t="shared" si="5"/>
        <v>19335.310176</v>
      </c>
      <c r="AE32" s="17">
        <f>13525.36*86.64/100</f>
        <v>11718.371904</v>
      </c>
      <c r="AF32" s="17"/>
      <c r="AG32" s="17">
        <f>(1352.54+5410.14+2028.8)*86.64/100</f>
        <v>7616.938271999999</v>
      </c>
      <c r="AH32" s="17">
        <f t="shared" si="6"/>
        <v>116011.861056</v>
      </c>
      <c r="AI32" s="18"/>
      <c r="AJ32" s="18">
        <f t="shared" si="7"/>
        <v>116011.861056</v>
      </c>
    </row>
    <row r="33" spans="1:36" s="12" customFormat="1" ht="12.75">
      <c r="A33" s="15">
        <f t="shared" si="8"/>
        <v>12</v>
      </c>
      <c r="B33" s="16" t="s">
        <v>35</v>
      </c>
      <c r="C33" s="15">
        <v>8</v>
      </c>
      <c r="D33" s="17">
        <f t="shared" si="0"/>
        <v>2376.0499999999993</v>
      </c>
      <c r="E33" s="17">
        <f>10437-9042.62</f>
        <v>1394.3799999999992</v>
      </c>
      <c r="F33" s="17">
        <v>148.94</v>
      </c>
      <c r="G33" s="17">
        <v>832.73</v>
      </c>
      <c r="H33" s="17">
        <f>D33*C33*12-0.07</f>
        <v>228100.72999999992</v>
      </c>
      <c r="I33" s="18"/>
      <c r="J33" s="18">
        <f t="shared" si="1"/>
        <v>228100.72999999992</v>
      </c>
      <c r="K33" s="14"/>
      <c r="L33" s="14"/>
      <c r="M33" s="14"/>
      <c r="N33" s="14"/>
      <c r="P33" s="15">
        <v>8</v>
      </c>
      <c r="Q33" s="17">
        <f t="shared" si="2"/>
        <v>17784.8</v>
      </c>
      <c r="R33" s="17">
        <v>10103.02</v>
      </c>
      <c r="S33" s="17">
        <v>1114.82</v>
      </c>
      <c r="T33" s="17">
        <f>1010.3+4041.21+1515.45</f>
        <v>6566.96</v>
      </c>
      <c r="U33" s="17">
        <f t="shared" si="9"/>
        <v>1707340.7999999998</v>
      </c>
      <c r="V33" s="18"/>
      <c r="W33" s="18">
        <f t="shared" si="4"/>
        <v>1707340.7999999998</v>
      </c>
      <c r="AC33" s="15">
        <v>8</v>
      </c>
      <c r="AD33" s="17">
        <f t="shared" si="5"/>
        <v>15408.75072</v>
      </c>
      <c r="AE33" s="17">
        <f>10103.02*86.64/100</f>
        <v>8753.256528</v>
      </c>
      <c r="AF33" s="17">
        <f>1114.82*86.64/100</f>
        <v>965.880048</v>
      </c>
      <c r="AG33" s="17">
        <f>(1010.3+4041.21+1515.45)*86.64/100</f>
        <v>5689.614144</v>
      </c>
      <c r="AH33" s="17">
        <f t="shared" si="6"/>
        <v>1479240.0691200001</v>
      </c>
      <c r="AI33" s="18"/>
      <c r="AJ33" s="18">
        <f t="shared" si="7"/>
        <v>1479240.0691200001</v>
      </c>
    </row>
    <row r="34" spans="1:36" s="12" customFormat="1" ht="12.75">
      <c r="A34" s="15">
        <f t="shared" si="8"/>
        <v>13</v>
      </c>
      <c r="B34" s="16" t="s">
        <v>36</v>
      </c>
      <c r="C34" s="15">
        <v>1</v>
      </c>
      <c r="D34" s="17">
        <f t="shared" si="0"/>
        <v>2191.169999999999</v>
      </c>
      <c r="E34" s="17">
        <f>10437-9042.62</f>
        <v>1394.3799999999992</v>
      </c>
      <c r="F34" s="17"/>
      <c r="G34" s="17">
        <v>796.79</v>
      </c>
      <c r="H34" s="17">
        <f>D34*C34*12+0.04</f>
        <v>26294.07999999999</v>
      </c>
      <c r="I34" s="18"/>
      <c r="J34" s="18">
        <f t="shared" si="1"/>
        <v>26294.07999999999</v>
      </c>
      <c r="K34" s="14"/>
      <c r="L34" s="14"/>
      <c r="M34" s="14"/>
      <c r="N34" s="14"/>
      <c r="P34" s="15">
        <v>1</v>
      </c>
      <c r="Q34" s="17">
        <f t="shared" si="2"/>
        <v>16401</v>
      </c>
      <c r="R34" s="17">
        <v>9940</v>
      </c>
      <c r="S34" s="17"/>
      <c r="T34" s="17">
        <f>994+3976+1491</f>
        <v>6461</v>
      </c>
      <c r="U34" s="17">
        <f t="shared" si="9"/>
        <v>196812</v>
      </c>
      <c r="V34" s="18"/>
      <c r="W34" s="18">
        <f t="shared" si="4"/>
        <v>196812</v>
      </c>
      <c r="AC34" s="15">
        <v>1</v>
      </c>
      <c r="AD34" s="17">
        <f t="shared" si="5"/>
        <v>14209.8264</v>
      </c>
      <c r="AE34" s="17">
        <f>9940*86.64/100</f>
        <v>8612.016</v>
      </c>
      <c r="AF34" s="17"/>
      <c r="AG34" s="17">
        <f>(994+3976+1491)*86.64/100</f>
        <v>5597.8104</v>
      </c>
      <c r="AH34" s="17">
        <f t="shared" si="6"/>
        <v>170517.9168</v>
      </c>
      <c r="AI34" s="18"/>
      <c r="AJ34" s="18">
        <f t="shared" si="7"/>
        <v>170517.9168</v>
      </c>
    </row>
    <row r="35" spans="1:36" s="12" customFormat="1" ht="12.75">
      <c r="A35" s="15">
        <f t="shared" si="8"/>
        <v>14</v>
      </c>
      <c r="B35" s="16" t="s">
        <v>251</v>
      </c>
      <c r="C35" s="15">
        <v>4</v>
      </c>
      <c r="D35" s="17">
        <f t="shared" si="0"/>
        <v>2191.169999999999</v>
      </c>
      <c r="E35" s="17">
        <f>10437-9042.62</f>
        <v>1394.3799999999992</v>
      </c>
      <c r="F35" s="17"/>
      <c r="G35" s="17">
        <v>796.79</v>
      </c>
      <c r="H35" s="17">
        <f>D35*C35*12+0.17</f>
        <v>105176.32999999996</v>
      </c>
      <c r="I35" s="18"/>
      <c r="J35" s="18">
        <f t="shared" si="1"/>
        <v>105176.32999999996</v>
      </c>
      <c r="K35" s="19"/>
      <c r="L35" s="19"/>
      <c r="M35" s="19"/>
      <c r="N35" s="19"/>
      <c r="P35" s="15">
        <v>4</v>
      </c>
      <c r="Q35" s="17">
        <f t="shared" si="2"/>
        <v>16401</v>
      </c>
      <c r="R35" s="17">
        <v>9940</v>
      </c>
      <c r="S35" s="17"/>
      <c r="T35" s="17">
        <f>994+3976+1491</f>
        <v>6461</v>
      </c>
      <c r="U35" s="17">
        <f t="shared" si="9"/>
        <v>787248</v>
      </c>
      <c r="V35" s="18"/>
      <c r="W35" s="18">
        <f t="shared" si="4"/>
        <v>787248</v>
      </c>
      <c r="AC35" s="15">
        <v>4</v>
      </c>
      <c r="AD35" s="17">
        <f t="shared" si="5"/>
        <v>14209.8264</v>
      </c>
      <c r="AE35" s="17">
        <f>9940*86.64/100</f>
        <v>8612.016</v>
      </c>
      <c r="AF35" s="17"/>
      <c r="AG35" s="17">
        <f>(994+3976+1491)*86.64/100</f>
        <v>5597.8104</v>
      </c>
      <c r="AH35" s="17">
        <f t="shared" si="6"/>
        <v>682071.6672</v>
      </c>
      <c r="AI35" s="18"/>
      <c r="AJ35" s="18">
        <f t="shared" si="7"/>
        <v>682071.6672</v>
      </c>
    </row>
    <row r="36" spans="1:36" s="12" customFormat="1" ht="12.75">
      <c r="A36" s="15">
        <f t="shared" si="8"/>
        <v>15</v>
      </c>
      <c r="B36" s="16" t="s">
        <v>37</v>
      </c>
      <c r="C36" s="15">
        <v>0.75</v>
      </c>
      <c r="D36" s="17">
        <f t="shared" si="0"/>
        <v>2191.169999999999</v>
      </c>
      <c r="E36" s="17">
        <f>10437-9042.62</f>
        <v>1394.3799999999992</v>
      </c>
      <c r="F36" s="17"/>
      <c r="G36" s="17">
        <v>796.79</v>
      </c>
      <c r="H36" s="17">
        <f>D36*C36*12+0.03</f>
        <v>19720.55999999999</v>
      </c>
      <c r="I36" s="18"/>
      <c r="J36" s="18">
        <f t="shared" si="1"/>
        <v>19720.55999999999</v>
      </c>
      <c r="K36" s="14"/>
      <c r="L36" s="14"/>
      <c r="M36" s="14"/>
      <c r="N36" s="14"/>
      <c r="P36" s="15">
        <v>0.75</v>
      </c>
      <c r="Q36" s="17">
        <f t="shared" si="2"/>
        <v>16401</v>
      </c>
      <c r="R36" s="17">
        <v>9940</v>
      </c>
      <c r="S36" s="17"/>
      <c r="T36" s="17">
        <f>994+3976+1491</f>
        <v>6461</v>
      </c>
      <c r="U36" s="17">
        <f t="shared" si="9"/>
        <v>147609</v>
      </c>
      <c r="V36" s="18"/>
      <c r="W36" s="18">
        <f t="shared" si="4"/>
        <v>147609</v>
      </c>
      <c r="AC36" s="15">
        <v>0.75</v>
      </c>
      <c r="AD36" s="17">
        <f t="shared" si="5"/>
        <v>14209.8264</v>
      </c>
      <c r="AE36" s="17">
        <f>9940*86.64/100</f>
        <v>8612.016</v>
      </c>
      <c r="AF36" s="17"/>
      <c r="AG36" s="17">
        <f>(994+3976+1491)*86.64/100</f>
        <v>5597.8104</v>
      </c>
      <c r="AH36" s="17">
        <f t="shared" si="6"/>
        <v>127888.4376</v>
      </c>
      <c r="AI36" s="18"/>
      <c r="AJ36" s="18">
        <f t="shared" si="7"/>
        <v>127888.4376</v>
      </c>
    </row>
    <row r="37" spans="1:36" s="12" customFormat="1" ht="12.75">
      <c r="A37" s="15">
        <f t="shared" si="8"/>
        <v>16</v>
      </c>
      <c r="B37" s="16" t="s">
        <v>38</v>
      </c>
      <c r="C37" s="15">
        <v>1</v>
      </c>
      <c r="D37" s="17">
        <f t="shared" si="0"/>
        <v>2729.9899999999993</v>
      </c>
      <c r="E37" s="17">
        <f>15407-13348.62</f>
        <v>2058.379999999999</v>
      </c>
      <c r="F37" s="17"/>
      <c r="G37" s="17">
        <v>671.61</v>
      </c>
      <c r="H37" s="17">
        <f>D37*C37*12-0.06</f>
        <v>32759.81999999999</v>
      </c>
      <c r="I37" s="18"/>
      <c r="J37" s="18">
        <f t="shared" si="1"/>
        <v>32759.81999999999</v>
      </c>
      <c r="K37" s="19"/>
      <c r="L37" s="19"/>
      <c r="M37" s="19"/>
      <c r="N37" s="19"/>
      <c r="P37" s="15">
        <v>1</v>
      </c>
      <c r="Q37" s="17">
        <f t="shared" si="2"/>
        <v>20434.02</v>
      </c>
      <c r="R37" s="17">
        <v>12384.25</v>
      </c>
      <c r="S37" s="17"/>
      <c r="T37" s="17">
        <f>1238.43+4953.7+1857.64</f>
        <v>8049.77</v>
      </c>
      <c r="U37" s="17">
        <f t="shared" si="9"/>
        <v>245208.24</v>
      </c>
      <c r="V37" s="18"/>
      <c r="W37" s="18">
        <f t="shared" si="4"/>
        <v>245208.24</v>
      </c>
      <c r="AC37" s="15">
        <v>1</v>
      </c>
      <c r="AD37" s="17">
        <f t="shared" si="5"/>
        <v>17704.034928</v>
      </c>
      <c r="AE37" s="17">
        <f>12384.25*86.64/100</f>
        <v>10729.714199999999</v>
      </c>
      <c r="AF37" s="17"/>
      <c r="AG37" s="17">
        <f>(1238.43+4953.7+1857.64)*86.64/100</f>
        <v>6974.320728000001</v>
      </c>
      <c r="AH37" s="17">
        <f t="shared" si="6"/>
        <v>212448.419136</v>
      </c>
      <c r="AI37" s="18"/>
      <c r="AJ37" s="18">
        <f t="shared" si="7"/>
        <v>212448.419136</v>
      </c>
    </row>
    <row r="38" spans="1:36" s="12" customFormat="1" ht="12.75">
      <c r="A38" s="15">
        <f t="shared" si="8"/>
        <v>17</v>
      </c>
      <c r="B38" s="16" t="s">
        <v>39</v>
      </c>
      <c r="C38" s="15">
        <v>1</v>
      </c>
      <c r="D38" s="17">
        <f t="shared" si="0"/>
        <v>3951.3400000000006</v>
      </c>
      <c r="E38" s="17">
        <f>22862-19807.64</f>
        <v>3054.3600000000006</v>
      </c>
      <c r="F38" s="17"/>
      <c r="G38" s="17">
        <v>896.98</v>
      </c>
      <c r="H38" s="17">
        <f>D38*C38*12+0.03</f>
        <v>47416.11000000001</v>
      </c>
      <c r="I38" s="18"/>
      <c r="J38" s="18">
        <f t="shared" si="1"/>
        <v>47416.11000000001</v>
      </c>
      <c r="K38" s="14"/>
      <c r="L38" s="14"/>
      <c r="M38" s="14"/>
      <c r="N38" s="14"/>
      <c r="P38" s="15">
        <v>1</v>
      </c>
      <c r="Q38" s="17">
        <f t="shared" si="2"/>
        <v>29575.92</v>
      </c>
      <c r="R38" s="17">
        <v>17924.8</v>
      </c>
      <c r="S38" s="17"/>
      <c r="T38" s="17">
        <f>1792.48+7169.92+2688.72</f>
        <v>11651.119999999999</v>
      </c>
      <c r="U38" s="17">
        <f t="shared" si="9"/>
        <v>354911.04</v>
      </c>
      <c r="V38" s="18"/>
      <c r="W38" s="18">
        <f t="shared" si="4"/>
        <v>354911.04</v>
      </c>
      <c r="AC38" s="15">
        <v>1</v>
      </c>
      <c r="AD38" s="17">
        <f t="shared" si="5"/>
        <v>25624.577088</v>
      </c>
      <c r="AE38" s="17">
        <f>17924.8*86.64/100</f>
        <v>15530.04672</v>
      </c>
      <c r="AF38" s="17"/>
      <c r="AG38" s="17">
        <f>(1792.48+7169.92+2688.72)*86.64/100</f>
        <v>10094.530368</v>
      </c>
      <c r="AH38" s="17">
        <f t="shared" si="6"/>
        <v>307494.925056</v>
      </c>
      <c r="AI38" s="18"/>
      <c r="AJ38" s="18">
        <f t="shared" si="7"/>
        <v>307494.925056</v>
      </c>
    </row>
    <row r="39" spans="1:36" s="12" customFormat="1" ht="12.75">
      <c r="A39" s="15">
        <f t="shared" si="8"/>
        <v>18</v>
      </c>
      <c r="B39" s="16" t="s">
        <v>40</v>
      </c>
      <c r="C39" s="15">
        <v>1</v>
      </c>
      <c r="D39" s="17">
        <f t="shared" si="0"/>
        <v>3951.3400000000006</v>
      </c>
      <c r="E39" s="17">
        <f>22862-19807.64</f>
        <v>3054.3600000000006</v>
      </c>
      <c r="F39" s="17"/>
      <c r="G39" s="17">
        <v>896.98</v>
      </c>
      <c r="H39" s="17">
        <f>D39*C39*12+0.03</f>
        <v>47416.11000000001</v>
      </c>
      <c r="I39" s="18"/>
      <c r="J39" s="18">
        <f t="shared" si="1"/>
        <v>47416.11000000001</v>
      </c>
      <c r="K39" s="14"/>
      <c r="L39" s="14"/>
      <c r="M39" s="14"/>
      <c r="N39" s="14"/>
      <c r="P39" s="15">
        <v>1</v>
      </c>
      <c r="Q39" s="17">
        <f t="shared" si="2"/>
        <v>29575.92</v>
      </c>
      <c r="R39" s="17">
        <v>17924.8</v>
      </c>
      <c r="S39" s="17"/>
      <c r="T39" s="17">
        <f>1792.48+7169.92+2688.72</f>
        <v>11651.119999999999</v>
      </c>
      <c r="U39" s="17">
        <f t="shared" si="9"/>
        <v>354911.04</v>
      </c>
      <c r="V39" s="18"/>
      <c r="W39" s="18">
        <f t="shared" si="4"/>
        <v>354911.04</v>
      </c>
      <c r="AC39" s="15">
        <v>1</v>
      </c>
      <c r="AD39" s="17">
        <f t="shared" si="5"/>
        <v>25624.577088</v>
      </c>
      <c r="AE39" s="17">
        <f>17924.8*86.64/100</f>
        <v>15530.04672</v>
      </c>
      <c r="AF39" s="17"/>
      <c r="AG39" s="17">
        <f>(1792.48+7169.92+2688.72)*86.64/100</f>
        <v>10094.530368</v>
      </c>
      <c r="AH39" s="17">
        <f t="shared" si="6"/>
        <v>307494.925056</v>
      </c>
      <c r="AI39" s="18"/>
      <c r="AJ39" s="18">
        <f t="shared" si="7"/>
        <v>307494.925056</v>
      </c>
    </row>
    <row r="40" spans="1:36" s="12" customFormat="1" ht="12.75">
      <c r="A40" s="15">
        <f t="shared" si="8"/>
        <v>19</v>
      </c>
      <c r="B40" s="16" t="s">
        <v>252</v>
      </c>
      <c r="C40" s="15">
        <v>1</v>
      </c>
      <c r="D40" s="17">
        <f t="shared" si="0"/>
        <v>3304.7300000000014</v>
      </c>
      <c r="E40" s="17">
        <f>21868-18946.44</f>
        <v>2921.5600000000013</v>
      </c>
      <c r="F40" s="17"/>
      <c r="G40" s="17">
        <v>383.17</v>
      </c>
      <c r="H40" s="17">
        <f>D40*C40*12-0.02</f>
        <v>39656.74000000002</v>
      </c>
      <c r="I40" s="18"/>
      <c r="J40" s="18">
        <f t="shared" si="1"/>
        <v>39656.74000000002</v>
      </c>
      <c r="K40" s="14"/>
      <c r="L40" s="14"/>
      <c r="M40" s="14"/>
      <c r="N40" s="14"/>
      <c r="P40" s="15">
        <v>1</v>
      </c>
      <c r="Q40" s="17">
        <f t="shared" si="2"/>
        <v>24735.989999999998</v>
      </c>
      <c r="R40" s="17">
        <v>14991.51</v>
      </c>
      <c r="S40" s="17"/>
      <c r="T40" s="17">
        <f>1499.15+5996.6+2248.73</f>
        <v>9744.48</v>
      </c>
      <c r="U40" s="17">
        <f t="shared" si="9"/>
        <v>296831.88</v>
      </c>
      <c r="V40" s="18"/>
      <c r="W40" s="18">
        <f t="shared" si="4"/>
        <v>296831.88</v>
      </c>
      <c r="AC40" s="15">
        <v>1</v>
      </c>
      <c r="AD40" s="17">
        <f t="shared" si="5"/>
        <v>21431.261736</v>
      </c>
      <c r="AE40" s="17">
        <f>14991.51*86.64/100</f>
        <v>12988.644264</v>
      </c>
      <c r="AF40" s="17"/>
      <c r="AG40" s="17">
        <f>(1499.15+5996.6+2248.73)*86.64/100</f>
        <v>8442.617472</v>
      </c>
      <c r="AH40" s="17">
        <f t="shared" si="6"/>
        <v>257175.140832</v>
      </c>
      <c r="AI40" s="18"/>
      <c r="AJ40" s="18">
        <f t="shared" si="7"/>
        <v>257175.140832</v>
      </c>
    </row>
    <row r="41" spans="1:36" s="12" customFormat="1" ht="26.25">
      <c r="A41" s="15">
        <f t="shared" si="8"/>
        <v>20</v>
      </c>
      <c r="B41" s="20" t="s">
        <v>41</v>
      </c>
      <c r="C41" s="15">
        <v>6.75</v>
      </c>
      <c r="D41" s="17">
        <f t="shared" si="0"/>
        <v>4476.8499999999985</v>
      </c>
      <c r="E41" s="17">
        <f>25844-22391.24</f>
        <v>3452.7599999999984</v>
      </c>
      <c r="F41" s="17">
        <v>417.7</v>
      </c>
      <c r="G41" s="17">
        <v>606.39</v>
      </c>
      <c r="H41" s="17">
        <f>D41*C41*12-0.17</f>
        <v>362624.6799999999</v>
      </c>
      <c r="I41" s="18"/>
      <c r="J41" s="18">
        <f t="shared" si="1"/>
        <v>362624.6799999999</v>
      </c>
      <c r="K41" s="14"/>
      <c r="L41" s="14"/>
      <c r="M41" s="14"/>
      <c r="N41" s="14"/>
      <c r="P41" s="15">
        <v>6.75</v>
      </c>
      <c r="Q41" s="17">
        <f t="shared" si="2"/>
        <v>33509.34</v>
      </c>
      <c r="R41" s="17">
        <v>18413.85</v>
      </c>
      <c r="S41" s="17">
        <v>3126.48</v>
      </c>
      <c r="T41" s="17">
        <f>1841.39+7365.54+2762.08</f>
        <v>11969.01</v>
      </c>
      <c r="U41" s="17">
        <f>Q41*P41*12-0.06</f>
        <v>2714256.48</v>
      </c>
      <c r="V41" s="18"/>
      <c r="W41" s="18">
        <f t="shared" si="4"/>
        <v>2714256.48</v>
      </c>
      <c r="AC41" s="15">
        <v>6.75</v>
      </c>
      <c r="AD41" s="17">
        <f t="shared" si="5"/>
        <v>29032.492176</v>
      </c>
      <c r="AE41" s="17">
        <f>18413.85*86.64/100</f>
        <v>15953.759639999998</v>
      </c>
      <c r="AF41" s="17">
        <f>3126.48*86.64/100</f>
        <v>2708.7822720000004</v>
      </c>
      <c r="AG41" s="17">
        <f>11969.01*86.64/100</f>
        <v>10369.950264</v>
      </c>
      <c r="AH41" s="17">
        <f>AD41*AC41*12-0.06</f>
        <v>2351631.806256</v>
      </c>
      <c r="AI41" s="18"/>
      <c r="AJ41" s="18">
        <f t="shared" si="7"/>
        <v>2351631.806256</v>
      </c>
    </row>
    <row r="42" spans="1:36" s="12" customFormat="1" ht="12.75">
      <c r="A42" s="15">
        <f t="shared" si="8"/>
        <v>21</v>
      </c>
      <c r="B42" s="16" t="s">
        <v>42</v>
      </c>
      <c r="C42" s="15">
        <v>1</v>
      </c>
      <c r="D42" s="17">
        <f t="shared" si="0"/>
        <v>4476.8499999999985</v>
      </c>
      <c r="E42" s="17">
        <f>25844-22391.24</f>
        <v>3452.7599999999984</v>
      </c>
      <c r="F42" s="17">
        <v>417.7</v>
      </c>
      <c r="G42" s="17">
        <v>606.39</v>
      </c>
      <c r="H42" s="17">
        <f>D42*C42*12</f>
        <v>53722.19999999998</v>
      </c>
      <c r="I42" s="18"/>
      <c r="J42" s="18">
        <f t="shared" si="1"/>
        <v>53722.19999999998</v>
      </c>
      <c r="K42" s="14"/>
      <c r="L42" s="14"/>
      <c r="M42" s="14"/>
      <c r="N42" s="14"/>
      <c r="P42" s="15">
        <v>1</v>
      </c>
      <c r="Q42" s="17">
        <f t="shared" si="2"/>
        <v>33509.34</v>
      </c>
      <c r="R42" s="17">
        <v>18413.85</v>
      </c>
      <c r="S42" s="17">
        <v>3126.48</v>
      </c>
      <c r="T42" s="17">
        <f>1841.39+7365.54+2762.08</f>
        <v>11969.01</v>
      </c>
      <c r="U42" s="17">
        <f>Q42*P42*12</f>
        <v>402112.07999999996</v>
      </c>
      <c r="V42" s="18"/>
      <c r="W42" s="18">
        <f t="shared" si="4"/>
        <v>402112.07999999996</v>
      </c>
      <c r="AC42" s="15">
        <v>1</v>
      </c>
      <c r="AD42" s="17">
        <f t="shared" si="5"/>
        <v>29032.492176</v>
      </c>
      <c r="AE42" s="17">
        <f>18413.85*86.64/100</f>
        <v>15953.759639999998</v>
      </c>
      <c r="AF42" s="17">
        <f>3126.48*86.64/100</f>
        <v>2708.7822720000004</v>
      </c>
      <c r="AG42" s="17">
        <f>(1841.39+7365.54+2762.08)*86.64/100</f>
        <v>10369.950264</v>
      </c>
      <c r="AH42" s="17">
        <f>AD42*AC42*12</f>
        <v>348389.906112</v>
      </c>
      <c r="AI42" s="18"/>
      <c r="AJ42" s="18">
        <f t="shared" si="7"/>
        <v>348389.906112</v>
      </c>
    </row>
    <row r="43" spans="1:36" s="12" customFormat="1" ht="12.75" customHeight="1" hidden="1">
      <c r="A43" s="122" t="s">
        <v>43</v>
      </c>
      <c r="B43" s="122"/>
      <c r="C43" s="122"/>
      <c r="D43" s="15" t="s">
        <v>44</v>
      </c>
      <c r="E43" s="15" t="s">
        <v>44</v>
      </c>
      <c r="F43" s="17">
        <f aca="true" t="shared" si="10" ref="F43:F110">S43-AF43</f>
        <v>0</v>
      </c>
      <c r="G43" s="19"/>
      <c r="H43" s="19"/>
      <c r="I43" s="19"/>
      <c r="J43" s="19"/>
      <c r="K43" s="19"/>
      <c r="L43" s="19"/>
      <c r="Q43" s="15" t="s">
        <v>44</v>
      </c>
      <c r="R43" s="15" t="s">
        <v>44</v>
      </c>
      <c r="S43" s="19"/>
      <c r="T43" s="19"/>
      <c r="U43" s="19"/>
      <c r="V43" s="19"/>
      <c r="W43" s="19"/>
      <c r="AC43" s="15">
        <v>2</v>
      </c>
      <c r="AD43" s="17">
        <f aca="true" t="shared" si="11" ref="AD43:AD49">AE43+AG43</f>
        <v>25542.91555555</v>
      </c>
      <c r="AE43" s="17">
        <v>15480.56</v>
      </c>
      <c r="AF43" s="17"/>
      <c r="AG43" s="17">
        <v>10062.35555555</v>
      </c>
      <c r="AH43" s="17">
        <f>AC43*AD43*12-0.02</f>
        <v>613029.9533332</v>
      </c>
      <c r="AI43" s="18"/>
      <c r="AJ43" s="18"/>
    </row>
    <row r="44" spans="6:36" s="12" customFormat="1" ht="12.75" customHeight="1" hidden="1">
      <c r="F44" s="17">
        <f t="shared" si="10"/>
        <v>0</v>
      </c>
      <c r="AC44" s="15">
        <v>2</v>
      </c>
      <c r="AD44" s="17">
        <f t="shared" si="11"/>
        <v>29575.92</v>
      </c>
      <c r="AE44" s="17">
        <v>17924.8</v>
      </c>
      <c r="AF44" s="17"/>
      <c r="AG44" s="17">
        <f>1792.48+7169.92+2688.72</f>
        <v>11651.119999999999</v>
      </c>
      <c r="AH44" s="17">
        <f>AC44*AD44*12-0.04</f>
        <v>709822.0399999999</v>
      </c>
      <c r="AI44" s="18"/>
      <c r="AJ44" s="18"/>
    </row>
    <row r="45" spans="6:36" s="12" customFormat="1" ht="12.75" customHeight="1" hidden="1">
      <c r="F45" s="17">
        <f t="shared" si="10"/>
        <v>0</v>
      </c>
      <c r="AC45" s="15">
        <v>1</v>
      </c>
      <c r="AD45" s="17">
        <f t="shared" si="11"/>
        <v>18820.15</v>
      </c>
      <c r="AE45" s="17">
        <v>11406.15</v>
      </c>
      <c r="AF45" s="17"/>
      <c r="AG45" s="17">
        <f>1140.62+4562.46+1710.92</f>
        <v>7414</v>
      </c>
      <c r="AH45" s="17">
        <f>AC45*AD45*12-0.01</f>
        <v>225841.79</v>
      </c>
      <c r="AI45" s="18"/>
      <c r="AJ45" s="18"/>
    </row>
    <row r="46" spans="6:36" s="12" customFormat="1" ht="12.75" customHeight="1" hidden="1">
      <c r="F46" s="17">
        <f t="shared" si="10"/>
        <v>0</v>
      </c>
      <c r="AC46" s="15">
        <v>1</v>
      </c>
      <c r="AD46" s="17">
        <f t="shared" si="11"/>
        <v>22316.84</v>
      </c>
      <c r="AE46" s="17">
        <v>13525.36</v>
      </c>
      <c r="AF46" s="17"/>
      <c r="AG46" s="17">
        <f>1352.54+5410.14+2028.8</f>
        <v>8791.48</v>
      </c>
      <c r="AH46" s="17">
        <f>AC46*AD46*12+0.09</f>
        <v>267802.17000000004</v>
      </c>
      <c r="AI46" s="18"/>
      <c r="AJ46" s="18"/>
    </row>
    <row r="47" spans="6:36" s="12" customFormat="1" ht="12.75" customHeight="1" hidden="1">
      <c r="F47" s="17">
        <f t="shared" si="10"/>
        <v>0</v>
      </c>
      <c r="AC47" s="15">
        <v>0.5</v>
      </c>
      <c r="AD47" s="17">
        <f t="shared" si="11"/>
        <v>24736</v>
      </c>
      <c r="AE47" s="17">
        <v>14991.51</v>
      </c>
      <c r="AF47" s="17"/>
      <c r="AG47" s="17">
        <v>9744.49</v>
      </c>
      <c r="AH47" s="17">
        <f>AC47*AD47*12+0.09</f>
        <v>148416.09</v>
      </c>
      <c r="AI47" s="18"/>
      <c r="AJ47" s="18"/>
    </row>
    <row r="48" spans="6:36" s="12" customFormat="1" ht="12.75" customHeight="1" hidden="1">
      <c r="F48" s="17">
        <f t="shared" si="10"/>
        <v>0</v>
      </c>
      <c r="AC48" s="15">
        <v>1</v>
      </c>
      <c r="AD48" s="17">
        <f t="shared" si="11"/>
        <v>16401</v>
      </c>
      <c r="AE48" s="17">
        <v>9940</v>
      </c>
      <c r="AF48" s="17"/>
      <c r="AG48" s="17">
        <f>994+3976+1491</f>
        <v>6461</v>
      </c>
      <c r="AH48" s="17">
        <f>AC48*AD48*12</f>
        <v>196812</v>
      </c>
      <c r="AI48" s="18"/>
      <c r="AJ48" s="18"/>
    </row>
    <row r="49" spans="6:36" s="12" customFormat="1" ht="12.75" customHeight="1" hidden="1">
      <c r="F49" s="17">
        <f t="shared" si="10"/>
        <v>0</v>
      </c>
      <c r="AC49" s="15">
        <v>0.5</v>
      </c>
      <c r="AD49" s="17">
        <f t="shared" si="11"/>
        <v>17207.93</v>
      </c>
      <c r="AE49" s="17">
        <v>10429.05</v>
      </c>
      <c r="AF49" s="17"/>
      <c r="AG49" s="17">
        <f>3389.44*2</f>
        <v>6778.88</v>
      </c>
      <c r="AH49" s="17">
        <f>AC49*AD49*12</f>
        <v>103247.58</v>
      </c>
      <c r="AI49" s="18"/>
      <c r="AJ49" s="18"/>
    </row>
    <row r="50" spans="6:36" s="12" customFormat="1" ht="12.75" customHeight="1" hidden="1">
      <c r="F50" s="17">
        <f t="shared" si="10"/>
        <v>-3126.48</v>
      </c>
      <c r="AC50" s="15">
        <v>1</v>
      </c>
      <c r="AD50" s="17">
        <f>AE50+AF50+AG50</f>
        <v>33509.34</v>
      </c>
      <c r="AE50" s="17">
        <v>18413.85</v>
      </c>
      <c r="AF50" s="17">
        <f>3126.48</f>
        <v>3126.48</v>
      </c>
      <c r="AG50" s="17">
        <f>(1841.39+7365.54+2762.08)</f>
        <v>11969.01</v>
      </c>
      <c r="AH50" s="17">
        <f>AD50*AC50*12</f>
        <v>402112.07999999996</v>
      </c>
      <c r="AI50" s="18"/>
      <c r="AJ50" s="18"/>
    </row>
    <row r="51" spans="6:36" s="12" customFormat="1" ht="12.75" customHeight="1" hidden="1">
      <c r="F51" s="17">
        <f t="shared" si="10"/>
        <v>-582.35</v>
      </c>
      <c r="AC51" s="15">
        <v>20</v>
      </c>
      <c r="AD51" s="17">
        <f>AE51+AF51</f>
        <v>6293.610000000001</v>
      </c>
      <c r="AE51" s="17">
        <v>5711.26</v>
      </c>
      <c r="AF51" s="17">
        <v>582.35</v>
      </c>
      <c r="AG51" s="17"/>
      <c r="AH51" s="17">
        <f>AC51*AD51</f>
        <v>125872.20000000001</v>
      </c>
      <c r="AI51" s="18"/>
      <c r="AJ51" s="18"/>
    </row>
    <row r="52" spans="6:36" s="12" customFormat="1" ht="12.75" customHeight="1" hidden="1">
      <c r="F52" s="17">
        <f t="shared" si="10"/>
        <v>-10092.274592000002</v>
      </c>
      <c r="AC52" s="21">
        <f aca="true" t="shared" si="12" ref="AC52:AH52">SUM(AC22:AC51)</f>
        <v>64</v>
      </c>
      <c r="AD52" s="22">
        <f t="shared" si="12"/>
        <v>785306.7814435503</v>
      </c>
      <c r="AE52" s="22">
        <f t="shared" si="12"/>
        <v>472072.41929999995</v>
      </c>
      <c r="AF52" s="22">
        <f t="shared" si="12"/>
        <v>10092.274592000002</v>
      </c>
      <c r="AG52" s="22">
        <f t="shared" si="12"/>
        <v>303142.08755155</v>
      </c>
      <c r="AH52" s="22">
        <f t="shared" si="12"/>
        <v>13277107.043925198</v>
      </c>
      <c r="AI52" s="21"/>
      <c r="AJ52" s="22">
        <f>SUM(AJ22:AJ51)</f>
        <v>10484151.140592001</v>
      </c>
    </row>
    <row r="53" s="12" customFormat="1" ht="12.75" customHeight="1" hidden="1">
      <c r="F53" s="17">
        <f t="shared" si="10"/>
        <v>0</v>
      </c>
    </row>
    <row r="54" s="12" customFormat="1" ht="12.75" customHeight="1" hidden="1">
      <c r="F54" s="17">
        <f t="shared" si="10"/>
        <v>0</v>
      </c>
    </row>
    <row r="55" s="12" customFormat="1" ht="12.75" customHeight="1" hidden="1">
      <c r="F55" s="17">
        <f t="shared" si="10"/>
        <v>0</v>
      </c>
    </row>
    <row r="56" s="12" customFormat="1" ht="12.75" customHeight="1" hidden="1">
      <c r="F56" s="17">
        <f t="shared" si="10"/>
        <v>0</v>
      </c>
    </row>
    <row r="57" spans="6:36" s="12" customFormat="1" ht="12.75" customHeight="1" hidden="1">
      <c r="F57" s="17">
        <f t="shared" si="10"/>
        <v>0</v>
      </c>
      <c r="AJ57" s="19"/>
    </row>
    <row r="58" spans="6:36" s="12" customFormat="1" ht="12.75" customHeight="1" hidden="1">
      <c r="F58" s="17" t="e">
        <f t="shared" si="10"/>
        <v>#VALUE!</v>
      </c>
      <c r="AE58" s="21" t="s">
        <v>45</v>
      </c>
      <c r="AF58" s="21" t="s">
        <v>46</v>
      </c>
      <c r="AG58" s="21" t="s">
        <v>47</v>
      </c>
      <c r="AH58" s="21" t="s">
        <v>48</v>
      </c>
      <c r="AI58" s="21" t="s">
        <v>49</v>
      </c>
      <c r="AJ58" s="19">
        <v>211</v>
      </c>
    </row>
    <row r="59" spans="6:36" s="12" customFormat="1" ht="12.75" customHeight="1" hidden="1">
      <c r="F59" s="17">
        <f t="shared" si="10"/>
        <v>-111</v>
      </c>
      <c r="AE59" s="14">
        <v>211</v>
      </c>
      <c r="AF59" s="14">
        <v>111</v>
      </c>
      <c r="AG59" s="18">
        <f>AJ52</f>
        <v>10484151.140592001</v>
      </c>
      <c r="AH59" s="14"/>
      <c r="AI59" s="18">
        <f>AN52</f>
        <v>0</v>
      </c>
      <c r="AJ59" s="19">
        <v>213</v>
      </c>
    </row>
    <row r="60" spans="6:36" s="12" customFormat="1" ht="12.75" customHeight="1" hidden="1">
      <c r="F60" s="17">
        <f t="shared" si="10"/>
        <v>-112</v>
      </c>
      <c r="AE60" s="14">
        <v>266</v>
      </c>
      <c r="AF60" s="14">
        <v>112</v>
      </c>
      <c r="AG60" s="14"/>
      <c r="AH60" s="14"/>
      <c r="AI60" s="23">
        <f>'[1]Лист2'!DE26</f>
        <v>0</v>
      </c>
      <c r="AJ60" s="19">
        <v>291</v>
      </c>
    </row>
    <row r="61" spans="6:36" s="12" customFormat="1" ht="12.75" customHeight="1" hidden="1">
      <c r="F61" s="17">
        <f t="shared" si="10"/>
        <v>-119</v>
      </c>
      <c r="AE61" s="14">
        <v>213</v>
      </c>
      <c r="AF61" s="14">
        <v>119</v>
      </c>
      <c r="AG61" s="18">
        <f>'[1]Лист2'!DA86</f>
        <v>0</v>
      </c>
      <c r="AH61" s="14"/>
      <c r="AI61" s="18">
        <f>'[1]Лист2'!DE86</f>
        <v>0</v>
      </c>
      <c r="AJ61" s="19">
        <v>221</v>
      </c>
    </row>
    <row r="62" spans="6:36" s="12" customFormat="1" ht="12.75" customHeight="1" hidden="1">
      <c r="F62" s="17">
        <f t="shared" si="10"/>
        <v>-853</v>
      </c>
      <c r="AE62" s="14">
        <v>291</v>
      </c>
      <c r="AF62" s="14">
        <v>853</v>
      </c>
      <c r="AG62" s="14"/>
      <c r="AH62" s="14"/>
      <c r="AI62" s="18">
        <f>'[1]Лист3'!DH24</f>
        <v>0</v>
      </c>
      <c r="AJ62" s="19">
        <v>222</v>
      </c>
    </row>
    <row r="63" spans="6:36" s="12" customFormat="1" ht="12.75" customHeight="1" hidden="1">
      <c r="F63" s="17">
        <f t="shared" si="10"/>
        <v>-244</v>
      </c>
      <c r="AE63" s="14">
        <v>221</v>
      </c>
      <c r="AF63" s="14">
        <v>244</v>
      </c>
      <c r="AG63" s="18">
        <f>'[1]Лист6'!DD15</f>
        <v>0</v>
      </c>
      <c r="AH63" s="14"/>
      <c r="AI63" s="18">
        <f>'[1]Лист6'!DH15</f>
        <v>0</v>
      </c>
      <c r="AJ63" s="19">
        <v>223</v>
      </c>
    </row>
    <row r="64" spans="6:36" s="12" customFormat="1" ht="12.75" customHeight="1" hidden="1">
      <c r="F64" s="17">
        <f t="shared" si="10"/>
        <v>-244</v>
      </c>
      <c r="AE64" s="14">
        <v>222</v>
      </c>
      <c r="AF64" s="14">
        <v>244</v>
      </c>
      <c r="AG64" s="18">
        <f>'[1]Лист6'!DD35</f>
        <v>0</v>
      </c>
      <c r="AH64" s="14"/>
      <c r="AI64" s="18">
        <f>'[1]Лист6'!DH35</f>
        <v>0</v>
      </c>
      <c r="AJ64" s="19">
        <v>225</v>
      </c>
    </row>
    <row r="65" spans="6:36" s="12" customFormat="1" ht="12.75" customHeight="1" hidden="1">
      <c r="F65" s="17">
        <f t="shared" si="10"/>
        <v>-244</v>
      </c>
      <c r="AE65" s="14">
        <v>223</v>
      </c>
      <c r="AF65" s="14">
        <v>244</v>
      </c>
      <c r="AG65" s="18">
        <f>'[1]Лист6'!DD60</f>
        <v>0</v>
      </c>
      <c r="AH65" s="14"/>
      <c r="AI65" s="18">
        <f>'[1]Лист6'!DH60</f>
        <v>0</v>
      </c>
      <c r="AJ65" s="19">
        <v>226</v>
      </c>
    </row>
    <row r="66" spans="6:36" s="12" customFormat="1" ht="12.75" customHeight="1" hidden="1">
      <c r="F66" s="17">
        <f t="shared" si="10"/>
        <v>-244</v>
      </c>
      <c r="AE66" s="14">
        <v>225</v>
      </c>
      <c r="AF66" s="14">
        <v>244</v>
      </c>
      <c r="AG66" s="18">
        <f>'[1]Лист7'!DD35</f>
        <v>0</v>
      </c>
      <c r="AH66" s="18">
        <f>'[1]Лист7'!DG35</f>
        <v>0</v>
      </c>
      <c r="AI66" s="18">
        <f>'[1]Лист7'!DH35</f>
        <v>0</v>
      </c>
      <c r="AJ66" s="19">
        <v>310</v>
      </c>
    </row>
    <row r="67" spans="6:36" s="12" customFormat="1" ht="12.75" customHeight="1" hidden="1">
      <c r="F67" s="17">
        <f t="shared" si="10"/>
        <v>-244</v>
      </c>
      <c r="AE67" s="14">
        <v>226</v>
      </c>
      <c r="AF67" s="14">
        <v>244</v>
      </c>
      <c r="AG67" s="18">
        <f>'[1]Лист7'!DD85</f>
        <v>0</v>
      </c>
      <c r="AH67" s="14"/>
      <c r="AI67" s="18">
        <f>'[1]Лист7'!DH85</f>
        <v>0</v>
      </c>
      <c r="AJ67" s="19">
        <v>341</v>
      </c>
    </row>
    <row r="68" spans="6:36" s="12" customFormat="1" ht="12.75" customHeight="1" hidden="1">
      <c r="F68" s="17">
        <f t="shared" si="10"/>
        <v>-244</v>
      </c>
      <c r="AE68" s="14">
        <v>310</v>
      </c>
      <c r="AF68" s="14">
        <v>244</v>
      </c>
      <c r="AG68" s="14"/>
      <c r="AH68" s="18">
        <f>'[1]Лист7'!DF114</f>
        <v>0</v>
      </c>
      <c r="AI68" s="18">
        <f>'[1]Лист7'!DH114</f>
        <v>0</v>
      </c>
      <c r="AJ68" s="19">
        <v>342</v>
      </c>
    </row>
    <row r="69" spans="6:36" s="12" customFormat="1" ht="12.75" customHeight="1" hidden="1">
      <c r="F69" s="17">
        <f t="shared" si="10"/>
        <v>-244</v>
      </c>
      <c r="AE69" s="14">
        <v>341</v>
      </c>
      <c r="AF69" s="14">
        <v>244</v>
      </c>
      <c r="AG69" s="23">
        <f>'[1]Лист7'!DD124</f>
        <v>0</v>
      </c>
      <c r="AH69" s="14"/>
      <c r="AI69" s="14"/>
      <c r="AJ69" s="19">
        <v>345</v>
      </c>
    </row>
    <row r="70" spans="6:36" s="12" customFormat="1" ht="12.75" customHeight="1" hidden="1">
      <c r="F70" s="17">
        <f t="shared" si="10"/>
        <v>-244</v>
      </c>
      <c r="AE70" s="14">
        <v>342</v>
      </c>
      <c r="AF70" s="14">
        <v>244</v>
      </c>
      <c r="AG70" s="14"/>
      <c r="AH70" s="14"/>
      <c r="AI70" s="18">
        <f>'[1]Лист7'!DH131</f>
        <v>0</v>
      </c>
      <c r="AJ70" s="19">
        <v>346</v>
      </c>
    </row>
    <row r="71" spans="6:36" s="12" customFormat="1" ht="12.75" customHeight="1" hidden="1">
      <c r="F71" s="17">
        <f t="shared" si="10"/>
        <v>-244</v>
      </c>
      <c r="AE71" s="14">
        <v>345</v>
      </c>
      <c r="AF71" s="14">
        <v>244</v>
      </c>
      <c r="AG71" s="18">
        <f>'[1]Лист7'!DD133</f>
        <v>0</v>
      </c>
      <c r="AH71" s="14"/>
      <c r="AI71" s="14"/>
      <c r="AJ71" s="19">
        <v>347</v>
      </c>
    </row>
    <row r="72" spans="6:36" s="12" customFormat="1" ht="12.75" customHeight="1" hidden="1">
      <c r="F72" s="17">
        <f t="shared" si="10"/>
        <v>-244</v>
      </c>
      <c r="AE72" s="14">
        <v>346</v>
      </c>
      <c r="AF72" s="14">
        <v>244</v>
      </c>
      <c r="AG72" s="18">
        <f>'[1]Лист7'!DD156</f>
        <v>0</v>
      </c>
      <c r="AH72" s="14"/>
      <c r="AI72" s="14">
        <f>'[1]Лист7'!DH156</f>
        <v>0</v>
      </c>
      <c r="AJ72" s="19">
        <v>349</v>
      </c>
    </row>
    <row r="73" spans="6:36" s="12" customFormat="1" ht="12.75" customHeight="1" hidden="1">
      <c r="F73" s="17">
        <f t="shared" si="10"/>
        <v>-244</v>
      </c>
      <c r="AE73" s="14">
        <v>347</v>
      </c>
      <c r="AF73" s="14">
        <v>244</v>
      </c>
      <c r="AG73" s="18">
        <f>'[1]Лист8'!DD38</f>
        <v>0</v>
      </c>
      <c r="AH73" s="14"/>
      <c r="AI73" s="18">
        <f>'[1]Лист8'!DH38</f>
        <v>0</v>
      </c>
      <c r="AJ73" s="19">
        <v>266</v>
      </c>
    </row>
    <row r="74" spans="6:36" s="12" customFormat="1" ht="12.75" customHeight="1" hidden="1">
      <c r="F74" s="17">
        <f t="shared" si="10"/>
        <v>-244</v>
      </c>
      <c r="AE74" s="14">
        <v>349</v>
      </c>
      <c r="AF74" s="14">
        <v>244</v>
      </c>
      <c r="AG74" s="14"/>
      <c r="AH74" s="14"/>
      <c r="AI74" s="23">
        <f>'[1]Лист7'!DH173</f>
        <v>0</v>
      </c>
      <c r="AJ74" s="19"/>
    </row>
    <row r="75" spans="6:36" s="12" customFormat="1" ht="12.75" customHeight="1" hidden="1">
      <c r="F75" s="17">
        <f t="shared" si="10"/>
        <v>0</v>
      </c>
      <c r="AE75" s="14"/>
      <c r="AF75" s="14"/>
      <c r="AG75" s="22">
        <f>SUM(AG59:AG74)</f>
        <v>10484151.140592001</v>
      </c>
      <c r="AH75" s="21">
        <f>SUM(AH59:AH74)</f>
        <v>0</v>
      </c>
      <c r="AI75" s="22">
        <f>SUM(AI59:AI74)</f>
        <v>0</v>
      </c>
      <c r="AJ75" s="22">
        <f>SUM(AJ59:AJ74)</f>
        <v>4267</v>
      </c>
    </row>
    <row r="76" s="12" customFormat="1" ht="12.75" customHeight="1" hidden="1">
      <c r="F76" s="17">
        <f t="shared" si="10"/>
        <v>0</v>
      </c>
    </row>
    <row r="77" spans="6:36" s="12" customFormat="1" ht="12.75" customHeight="1" hidden="1">
      <c r="F77" s="17">
        <f t="shared" si="10"/>
        <v>0</v>
      </c>
      <c r="AJ77" s="19">
        <v>211</v>
      </c>
    </row>
    <row r="78" spans="6:36" s="12" customFormat="1" ht="12.75" customHeight="1" hidden="1">
      <c r="F78" s="17">
        <f t="shared" si="10"/>
        <v>0</v>
      </c>
      <c r="AJ78" s="19">
        <v>213</v>
      </c>
    </row>
    <row r="79" spans="6:36" s="12" customFormat="1" ht="12.75" customHeight="1" hidden="1">
      <c r="F79" s="17">
        <f t="shared" si="10"/>
        <v>0</v>
      </c>
      <c r="AJ79" s="19">
        <v>291</v>
      </c>
    </row>
    <row r="80" spans="6:36" s="12" customFormat="1" ht="12.75" customHeight="1" hidden="1">
      <c r="F80" s="17">
        <f t="shared" si="10"/>
        <v>0</v>
      </c>
      <c r="AJ80" s="19">
        <v>221</v>
      </c>
    </row>
    <row r="81" spans="6:36" s="12" customFormat="1" ht="12.75" customHeight="1" hidden="1">
      <c r="F81" s="17">
        <f t="shared" si="10"/>
        <v>0</v>
      </c>
      <c r="AJ81" s="19">
        <v>222</v>
      </c>
    </row>
    <row r="82" spans="6:36" s="12" customFormat="1" ht="12.75" customHeight="1" hidden="1">
      <c r="F82" s="17">
        <f t="shared" si="10"/>
        <v>0</v>
      </c>
      <c r="AJ82" s="19">
        <v>223</v>
      </c>
    </row>
    <row r="83" spans="6:36" s="12" customFormat="1" ht="12.75" customHeight="1" hidden="1">
      <c r="F83" s="17">
        <f t="shared" si="10"/>
        <v>0</v>
      </c>
      <c r="AJ83" s="19">
        <v>225</v>
      </c>
    </row>
    <row r="84" spans="6:36" s="12" customFormat="1" ht="12.75" customHeight="1" hidden="1">
      <c r="F84" s="17">
        <f t="shared" si="10"/>
        <v>0</v>
      </c>
      <c r="AJ84" s="19">
        <v>226</v>
      </c>
    </row>
    <row r="85" spans="6:36" s="12" customFormat="1" ht="12.75" customHeight="1" hidden="1">
      <c r="F85" s="17">
        <f t="shared" si="10"/>
        <v>0</v>
      </c>
      <c r="AJ85" s="19">
        <v>310</v>
      </c>
    </row>
    <row r="86" spans="6:36" s="12" customFormat="1" ht="12.75" customHeight="1" hidden="1">
      <c r="F86" s="17">
        <f t="shared" si="10"/>
        <v>0</v>
      </c>
      <c r="AJ86" s="19">
        <v>341</v>
      </c>
    </row>
    <row r="87" spans="6:36" s="12" customFormat="1" ht="12.75" customHeight="1" hidden="1">
      <c r="F87" s="17">
        <f t="shared" si="10"/>
        <v>0</v>
      </c>
      <c r="AJ87" s="19">
        <v>342</v>
      </c>
    </row>
    <row r="88" spans="6:36" s="12" customFormat="1" ht="12.75" customHeight="1" hidden="1">
      <c r="F88" s="17">
        <f t="shared" si="10"/>
        <v>0</v>
      </c>
      <c r="AJ88" s="19">
        <v>345</v>
      </c>
    </row>
    <row r="89" spans="6:36" s="12" customFormat="1" ht="12.75" customHeight="1" hidden="1">
      <c r="F89" s="17">
        <f t="shared" si="10"/>
        <v>0</v>
      </c>
      <c r="AJ89" s="19">
        <v>346</v>
      </c>
    </row>
    <row r="90" spans="6:36" s="12" customFormat="1" ht="12.75" customHeight="1" hidden="1">
      <c r="F90" s="17">
        <f t="shared" si="10"/>
        <v>0</v>
      </c>
      <c r="AJ90" s="19">
        <v>347</v>
      </c>
    </row>
    <row r="91" spans="6:36" s="12" customFormat="1" ht="12.75" customHeight="1" hidden="1">
      <c r="F91" s="17">
        <f t="shared" si="10"/>
        <v>0</v>
      </c>
      <c r="AJ91" s="19">
        <v>349</v>
      </c>
    </row>
    <row r="92" spans="6:36" s="12" customFormat="1" ht="12.75" customHeight="1" hidden="1">
      <c r="F92" s="17">
        <f t="shared" si="10"/>
        <v>0</v>
      </c>
      <c r="AJ92" s="19">
        <v>266</v>
      </c>
    </row>
    <row r="93" spans="6:36" s="12" customFormat="1" ht="12.75" customHeight="1" hidden="1">
      <c r="F93" s="17">
        <f t="shared" si="10"/>
        <v>0</v>
      </c>
      <c r="AJ93" s="19"/>
    </row>
    <row r="94" s="12" customFormat="1" ht="12.75" customHeight="1" hidden="1">
      <c r="F94" s="17">
        <f t="shared" si="10"/>
        <v>0</v>
      </c>
    </row>
    <row r="95" s="12" customFormat="1" ht="12.75" customHeight="1" hidden="1">
      <c r="F95" s="17">
        <f t="shared" si="10"/>
        <v>0</v>
      </c>
    </row>
    <row r="96" s="12" customFormat="1" ht="12.75" customHeight="1" hidden="1">
      <c r="F96" s="17">
        <f t="shared" si="10"/>
        <v>0</v>
      </c>
    </row>
    <row r="97" s="12" customFormat="1" ht="12.75" customHeight="1" hidden="1">
      <c r="F97" s="17">
        <f t="shared" si="10"/>
        <v>0</v>
      </c>
    </row>
    <row r="98" s="12" customFormat="1" ht="12.75" customHeight="1" hidden="1">
      <c r="F98" s="17">
        <f t="shared" si="10"/>
        <v>0</v>
      </c>
    </row>
    <row r="99" s="12" customFormat="1" ht="12.75" customHeight="1" hidden="1">
      <c r="F99" s="17">
        <f t="shared" si="10"/>
        <v>0</v>
      </c>
    </row>
    <row r="100" s="12" customFormat="1" ht="12.75" customHeight="1" hidden="1">
      <c r="F100" s="17">
        <f t="shared" si="10"/>
        <v>0</v>
      </c>
    </row>
    <row r="101" s="12" customFormat="1" ht="12.75" customHeight="1" hidden="1">
      <c r="F101" s="17">
        <f t="shared" si="10"/>
        <v>0</v>
      </c>
    </row>
    <row r="102" s="12" customFormat="1" ht="12.75" customHeight="1" hidden="1">
      <c r="F102" s="17">
        <f t="shared" si="10"/>
        <v>0</v>
      </c>
    </row>
    <row r="103" s="12" customFormat="1" ht="12.75" customHeight="1" hidden="1">
      <c r="F103" s="17">
        <f t="shared" si="10"/>
        <v>0</v>
      </c>
    </row>
    <row r="104" s="12" customFormat="1" ht="12.75" customHeight="1" hidden="1">
      <c r="F104" s="17">
        <f t="shared" si="10"/>
        <v>0</v>
      </c>
    </row>
    <row r="105" s="12" customFormat="1" ht="12.75" customHeight="1" hidden="1">
      <c r="F105" s="17">
        <f t="shared" si="10"/>
        <v>0</v>
      </c>
    </row>
    <row r="106" s="12" customFormat="1" ht="12.75" customHeight="1" hidden="1">
      <c r="F106" s="17">
        <f t="shared" si="10"/>
        <v>0</v>
      </c>
    </row>
    <row r="107" s="12" customFormat="1" ht="12.75" customHeight="1" hidden="1">
      <c r="F107" s="17">
        <f t="shared" si="10"/>
        <v>0</v>
      </c>
    </row>
    <row r="108" s="12" customFormat="1" ht="12.75" customHeight="1" hidden="1">
      <c r="F108" s="17">
        <f t="shared" si="10"/>
        <v>0</v>
      </c>
    </row>
    <row r="109" s="12" customFormat="1" ht="12.75" customHeight="1" hidden="1">
      <c r="F109" s="17">
        <f t="shared" si="10"/>
        <v>0</v>
      </c>
    </row>
    <row r="110" s="12" customFormat="1" ht="12.75" customHeight="1" hidden="1">
      <c r="F110" s="17">
        <f t="shared" si="10"/>
        <v>0</v>
      </c>
    </row>
    <row r="111" spans="1:36" s="12" customFormat="1" ht="12.75">
      <c r="A111" s="123" t="s">
        <v>50</v>
      </c>
      <c r="B111" s="123"/>
      <c r="C111" s="57">
        <f>SUM(C22:C42)</f>
        <v>35</v>
      </c>
      <c r="D111" s="58">
        <f>SUM(D22:D42)</f>
        <v>91070.99999999997</v>
      </c>
      <c r="E111" s="58">
        <f>SUM(E22:E42)</f>
        <v>67677.35999999997</v>
      </c>
      <c r="F111" s="58">
        <f>SUM(F22:F42)</f>
        <v>984.3399999999999</v>
      </c>
      <c r="G111" s="58">
        <f>SUM(G22:G110)</f>
        <v>22409.299999999996</v>
      </c>
      <c r="H111" s="58">
        <f>SUM(H22:H110)</f>
        <v>1616105.6199999999</v>
      </c>
      <c r="I111" s="57"/>
      <c r="J111" s="58">
        <f>SUM(J22:J110)</f>
        <v>1616105.6199999999</v>
      </c>
      <c r="K111" s="57"/>
      <c r="L111" s="57"/>
      <c r="M111" s="57"/>
      <c r="N111" s="58"/>
      <c r="P111" s="21">
        <f>SUM(P22:P42)</f>
        <v>35</v>
      </c>
      <c r="Q111" s="22">
        <f>SUM(Q22:Q110)</f>
        <v>681974.08</v>
      </c>
      <c r="R111" s="22">
        <f>SUM(R22:R110)</f>
        <v>408852.29</v>
      </c>
      <c r="S111" s="22">
        <f>SUM(S22:S110)</f>
        <v>7367.780000000001</v>
      </c>
      <c r="T111" s="22">
        <f>SUM(T22:T110)</f>
        <v>265754.01</v>
      </c>
      <c r="U111" s="22">
        <f>SUM(U22:U110)</f>
        <v>12100256.760000002</v>
      </c>
      <c r="V111" s="21"/>
      <c r="W111" s="22">
        <f>SUM(W22:W110)</f>
        <v>12100256.760000002</v>
      </c>
      <c r="AJ111" s="24">
        <f>SUM(AJ22:AJ42)</f>
        <v>10484151.140592001</v>
      </c>
    </row>
    <row r="112" s="12" customFormat="1" ht="12.75"/>
    <row r="113" spans="34:36" s="12" customFormat="1" ht="12.75">
      <c r="AH113" s="25">
        <f>AJ41+J41</f>
        <v>2714256.4862559997</v>
      </c>
      <c r="AJ113" s="25">
        <f>AJ111+J111</f>
        <v>12100256.760592</v>
      </c>
    </row>
    <row r="114" spans="3:13" s="12" customFormat="1" ht="12.75">
      <c r="C114" s="19"/>
      <c r="D114" s="21">
        <v>4</v>
      </c>
      <c r="E114" s="21">
        <v>5</v>
      </c>
      <c r="F114" s="21">
        <v>2</v>
      </c>
      <c r="G114" s="19"/>
      <c r="M114" s="25">
        <f>J111+'[1]Лист1'!$J$52</f>
        <v>12100256.760592</v>
      </c>
    </row>
    <row r="115" spans="3:7" s="12" customFormat="1" ht="12.75">
      <c r="C115" s="19">
        <v>211</v>
      </c>
      <c r="D115" s="26">
        <f>J111</f>
        <v>1616105.6199999999</v>
      </c>
      <c r="E115" s="26"/>
      <c r="F115" s="26"/>
      <c r="G115" s="26">
        <f aca="true" t="shared" si="13" ref="G115:G128">D115+E115+F115</f>
        <v>1616105.6199999999</v>
      </c>
    </row>
    <row r="116" spans="3:7" s="12" customFormat="1" ht="12.75">
      <c r="C116" s="19">
        <v>213</v>
      </c>
      <c r="D116" s="26">
        <f>Лист2!CA94</f>
        <v>488063.89723999996</v>
      </c>
      <c r="E116" s="26"/>
      <c r="F116" s="26"/>
      <c r="G116" s="26">
        <f t="shared" si="13"/>
        <v>488063.89723999996</v>
      </c>
    </row>
    <row r="117" spans="3:7" s="12" customFormat="1" ht="12.75">
      <c r="C117" s="19">
        <v>221</v>
      </c>
      <c r="D117" s="26">
        <f>Лист6!CD14</f>
        <v>70472.17</v>
      </c>
      <c r="E117" s="19"/>
      <c r="F117" s="19"/>
      <c r="G117" s="26">
        <f t="shared" si="13"/>
        <v>70472.17</v>
      </c>
    </row>
    <row r="118" spans="3:7" s="12" customFormat="1" ht="12.75">
      <c r="C118" s="19">
        <v>222</v>
      </c>
      <c r="D118" s="26">
        <f>Лист6!CD38</f>
        <v>44800</v>
      </c>
      <c r="E118" s="19"/>
      <c r="F118" s="19"/>
      <c r="G118" s="26">
        <f t="shared" si="13"/>
        <v>44800</v>
      </c>
    </row>
    <row r="119" spans="3:7" s="12" customFormat="1" ht="12.75">
      <c r="C119" s="19">
        <v>223</v>
      </c>
      <c r="D119" s="26">
        <f>Лист6!CD64</f>
        <v>264991.2954200001</v>
      </c>
      <c r="E119" s="19"/>
      <c r="F119" s="19"/>
      <c r="G119" s="26">
        <f t="shared" si="13"/>
        <v>264991.2954200001</v>
      </c>
    </row>
    <row r="120" spans="3:7" s="12" customFormat="1" ht="12.75">
      <c r="C120" s="19">
        <v>225</v>
      </c>
      <c r="D120" s="26">
        <f>Лист7!CD19</f>
        <v>169240.97</v>
      </c>
      <c r="E120" s="19"/>
      <c r="F120" s="19"/>
      <c r="G120" s="26">
        <f t="shared" si="13"/>
        <v>169240.97</v>
      </c>
    </row>
    <row r="121" spans="3:7" s="12" customFormat="1" ht="12.75">
      <c r="C121" s="19">
        <v>226</v>
      </c>
      <c r="D121" s="26">
        <f>Лист7!CD55</f>
        <v>505664.58</v>
      </c>
      <c r="E121" s="19"/>
      <c r="F121" s="19"/>
      <c r="G121" s="26">
        <f t="shared" si="13"/>
        <v>505664.58</v>
      </c>
    </row>
    <row r="122" spans="3:7" s="12" customFormat="1" ht="12.75">
      <c r="C122" s="19">
        <v>310</v>
      </c>
      <c r="D122" s="26">
        <f>Лист7!CD77</f>
        <v>0</v>
      </c>
      <c r="E122" s="19"/>
      <c r="F122" s="19"/>
      <c r="G122" s="26">
        <f t="shared" si="13"/>
        <v>0</v>
      </c>
    </row>
    <row r="123" spans="3:7" s="12" customFormat="1" ht="12.75">
      <c r="C123" s="19">
        <v>341</v>
      </c>
      <c r="D123" s="27">
        <f>Лист7!CD86</f>
        <v>0</v>
      </c>
      <c r="E123" s="19"/>
      <c r="F123" s="19"/>
      <c r="G123" s="26">
        <f t="shared" si="13"/>
        <v>0</v>
      </c>
    </row>
    <row r="124" spans="3:36" s="12" customFormat="1" ht="15">
      <c r="C124" s="19">
        <v>342</v>
      </c>
      <c r="D124" s="26">
        <f>Лист7!CD88</f>
        <v>16001.32</v>
      </c>
      <c r="E124" s="19"/>
      <c r="F124" s="19"/>
      <c r="G124" s="26">
        <f t="shared" si="13"/>
        <v>16001.32</v>
      </c>
      <c r="AC124" s="1"/>
      <c r="AD124" s="1"/>
      <c r="AE124" s="1"/>
      <c r="AF124" s="1"/>
      <c r="AG124" s="1"/>
      <c r="AH124" s="1"/>
      <c r="AI124" s="1"/>
      <c r="AJ124" s="1"/>
    </row>
    <row r="125" spans="3:36" s="12" customFormat="1" ht="15">
      <c r="C125" s="19">
        <v>345</v>
      </c>
      <c r="D125" s="26">
        <f>Лист7!CD96</f>
        <v>7960</v>
      </c>
      <c r="E125" s="19"/>
      <c r="F125" s="19"/>
      <c r="G125" s="26">
        <f t="shared" si="13"/>
        <v>7960</v>
      </c>
      <c r="AC125" s="1"/>
      <c r="AD125" s="1"/>
      <c r="AE125" s="1"/>
      <c r="AF125" s="1"/>
      <c r="AG125" s="1"/>
      <c r="AH125" s="1"/>
      <c r="AI125" s="1"/>
      <c r="AJ125" s="1"/>
    </row>
    <row r="126" spans="3:36" s="12" customFormat="1" ht="15">
      <c r="C126" s="19">
        <v>346</v>
      </c>
      <c r="D126" s="26">
        <f>Лист7!CD113</f>
        <v>59221.229999999996</v>
      </c>
      <c r="E126" s="19"/>
      <c r="F126" s="19"/>
      <c r="G126" s="26">
        <f t="shared" si="13"/>
        <v>59221.229999999996</v>
      </c>
      <c r="AC126" s="1"/>
      <c r="AD126" s="1"/>
      <c r="AE126" s="1"/>
      <c r="AF126" s="1"/>
      <c r="AG126" s="1"/>
      <c r="AH126" s="1"/>
      <c r="AI126" s="1"/>
      <c r="AJ126" s="1"/>
    </row>
    <row r="127" spans="3:36" s="12" customFormat="1" ht="15">
      <c r="C127" s="19">
        <v>347</v>
      </c>
      <c r="D127" s="19">
        <v>0</v>
      </c>
      <c r="E127" s="19"/>
      <c r="F127" s="19"/>
      <c r="G127" s="26">
        <f t="shared" si="13"/>
        <v>0</v>
      </c>
      <c r="AC127" s="1"/>
      <c r="AD127" s="1"/>
      <c r="AE127" s="1"/>
      <c r="AF127" s="1"/>
      <c r="AG127" s="1"/>
      <c r="AH127" s="1"/>
      <c r="AI127" s="1"/>
      <c r="AJ127" s="1"/>
    </row>
    <row r="128" spans="3:36" s="12" customFormat="1" ht="15">
      <c r="C128" s="19">
        <v>349</v>
      </c>
      <c r="D128" s="27">
        <f>Лист7!CD117</f>
        <v>65000</v>
      </c>
      <c r="E128" s="19"/>
      <c r="F128" s="19"/>
      <c r="G128" s="26">
        <f t="shared" si="13"/>
        <v>65000</v>
      </c>
      <c r="AC128" s="1"/>
      <c r="AD128" s="1"/>
      <c r="AE128" s="1"/>
      <c r="AF128" s="1"/>
      <c r="AG128" s="1"/>
      <c r="AH128" s="1"/>
      <c r="AI128" s="1"/>
      <c r="AJ128" s="1"/>
    </row>
    <row r="129" spans="3:36" s="12" customFormat="1" ht="15">
      <c r="C129" s="28" t="s">
        <v>51</v>
      </c>
      <c r="D129" s="29">
        <f>SUM(D115:D128)+0.01</f>
        <v>3307521.09266</v>
      </c>
      <c r="E129" s="28"/>
      <c r="F129" s="28"/>
      <c r="G129" s="29">
        <f>SUM(G115:G128)+0.01</f>
        <v>3307521.09266</v>
      </c>
      <c r="AC129" s="1"/>
      <c r="AD129" s="1"/>
      <c r="AE129" s="1"/>
      <c r="AF129" s="1"/>
      <c r="AG129" s="1"/>
      <c r="AH129" s="1"/>
      <c r="AI129" s="1"/>
      <c r="AJ129" s="1"/>
    </row>
  </sheetData>
  <sheetProtection selectLockedCells="1" selectUnlockedCells="1"/>
  <mergeCells count="35">
    <mergeCell ref="AI19:AJ19"/>
    <mergeCell ref="A43:C43"/>
    <mergeCell ref="A111:B111"/>
    <mergeCell ref="N19:N20"/>
    <mergeCell ref="Q19:Q20"/>
    <mergeCell ref="R19:R20"/>
    <mergeCell ref="S19:S20"/>
    <mergeCell ref="T19:T20"/>
    <mergeCell ref="V19:W19"/>
    <mergeCell ref="D19:D20"/>
    <mergeCell ref="E19:E20"/>
    <mergeCell ref="F19:F20"/>
    <mergeCell ref="G19:G20"/>
    <mergeCell ref="I19:J19"/>
    <mergeCell ref="K19:M19"/>
    <mergeCell ref="Q18:T18"/>
    <mergeCell ref="U18:U20"/>
    <mergeCell ref="V18:W18"/>
    <mergeCell ref="AC18:AC20"/>
    <mergeCell ref="AD18:AG18"/>
    <mergeCell ref="AH18:AH20"/>
    <mergeCell ref="AD19:AD20"/>
    <mergeCell ref="AE19:AE20"/>
    <mergeCell ref="AF19:AF20"/>
    <mergeCell ref="AG19:AG20"/>
    <mergeCell ref="A10:N10"/>
    <mergeCell ref="F12:N12"/>
    <mergeCell ref="T12:W12"/>
    <mergeCell ref="A18:A20"/>
    <mergeCell ref="B18:B20"/>
    <mergeCell ref="C18:C20"/>
    <mergeCell ref="D18:G18"/>
    <mergeCell ref="H18:H20"/>
    <mergeCell ref="I18:N18"/>
    <mergeCell ref="P18:P20"/>
  </mergeCells>
  <printOptions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CF98"/>
  <sheetViews>
    <sheetView zoomScalePageLayoutView="0" workbookViewId="0" topLeftCell="A79">
      <selection activeCell="CX86" sqref="CX86"/>
    </sheetView>
  </sheetViews>
  <sheetFormatPr defaultColWidth="1.12109375" defaultRowHeight="8.25" customHeight="1"/>
  <cols>
    <col min="1" max="1" width="5.50390625" style="30" customWidth="1"/>
    <col min="2" max="54" width="1.12109375" style="30" customWidth="1"/>
    <col min="55" max="55" width="1.875" style="30" customWidth="1"/>
    <col min="56" max="77" width="1.12109375" style="30" customWidth="1"/>
    <col min="78" max="78" width="9.50390625" style="30" customWidth="1"/>
    <col min="79" max="79" width="11.375" style="30" customWidth="1"/>
    <col min="80" max="80" width="9.125" style="30" customWidth="1"/>
    <col min="81" max="81" width="9.50390625" style="30" customWidth="1"/>
    <col min="82" max="82" width="8.875" style="30" customWidth="1"/>
    <col min="83" max="83" width="19.625" style="30" customWidth="1"/>
    <col min="84" max="84" width="19.50390625" style="30" hidden="1" customWidth="1"/>
    <col min="85" max="16384" width="1.12109375" style="30" customWidth="1"/>
  </cols>
  <sheetData>
    <row r="1" spans="1:83" s="32" customFormat="1" ht="16.5" customHeight="1" hidden="1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</row>
    <row r="2" s="33" customFormat="1" ht="8.25" customHeight="1" hidden="1"/>
    <row r="3" spans="1:83" ht="8.25" customHeight="1" hidden="1">
      <c r="A3" s="125" t="s">
        <v>7</v>
      </c>
      <c r="B3" s="126" t="s">
        <v>53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 t="s">
        <v>54</v>
      </c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 t="s">
        <v>55</v>
      </c>
      <c r="AV3" s="126"/>
      <c r="AW3" s="126"/>
      <c r="AX3" s="126"/>
      <c r="AY3" s="126"/>
      <c r="AZ3" s="126"/>
      <c r="BA3" s="126"/>
      <c r="BB3" s="126"/>
      <c r="BC3" s="126"/>
      <c r="BD3" s="126" t="s">
        <v>56</v>
      </c>
      <c r="BE3" s="126"/>
      <c r="BF3" s="126"/>
      <c r="BG3" s="126"/>
      <c r="BH3" s="126"/>
      <c r="BI3" s="126"/>
      <c r="BJ3" s="126"/>
      <c r="BK3" s="126"/>
      <c r="BL3" s="126"/>
      <c r="BM3" s="126" t="s">
        <v>57</v>
      </c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7" t="s">
        <v>12</v>
      </c>
      <c r="CA3" s="127"/>
      <c r="CB3" s="127"/>
      <c r="CC3" s="127"/>
      <c r="CD3" s="127"/>
      <c r="CE3" s="127"/>
    </row>
    <row r="4" spans="1:83" ht="26.25" customHeight="1" hidden="1">
      <c r="A4" s="125"/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 t="s">
        <v>17</v>
      </c>
      <c r="CA4" s="126"/>
      <c r="CB4" s="126" t="s">
        <v>18</v>
      </c>
      <c r="CC4" s="126"/>
      <c r="CD4" s="126"/>
      <c r="CE4" s="126" t="s">
        <v>19</v>
      </c>
    </row>
    <row r="5" spans="1:83" ht="8.25" customHeight="1" hidden="1">
      <c r="A5" s="125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8" t="s">
        <v>20</v>
      </c>
      <c r="CA5" s="128" t="s">
        <v>21</v>
      </c>
      <c r="CB5" s="128" t="s">
        <v>22</v>
      </c>
      <c r="CC5" s="128" t="s">
        <v>20</v>
      </c>
      <c r="CD5" s="128" t="s">
        <v>21</v>
      </c>
      <c r="CE5" s="126"/>
    </row>
    <row r="6" spans="1:83" ht="15" customHeight="1" hidden="1">
      <c r="A6" s="125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8"/>
      <c r="CA6" s="128"/>
      <c r="CB6" s="128"/>
      <c r="CC6" s="128"/>
      <c r="CD6" s="128"/>
      <c r="CE6" s="126"/>
    </row>
    <row r="7" spans="1:83" ht="8.25" customHeight="1" hidden="1">
      <c r="A7" s="35">
        <v>1</v>
      </c>
      <c r="B7" s="129">
        <v>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>
        <v>3</v>
      </c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>
        <v>4</v>
      </c>
      <c r="AV7" s="129"/>
      <c r="AW7" s="129"/>
      <c r="AX7" s="129"/>
      <c r="AY7" s="129"/>
      <c r="AZ7" s="129"/>
      <c r="BA7" s="129"/>
      <c r="BB7" s="129"/>
      <c r="BC7" s="129"/>
      <c r="BD7" s="129">
        <v>5</v>
      </c>
      <c r="BE7" s="129"/>
      <c r="BF7" s="129"/>
      <c r="BG7" s="129"/>
      <c r="BH7" s="129"/>
      <c r="BI7" s="129"/>
      <c r="BJ7" s="129"/>
      <c r="BK7" s="129"/>
      <c r="BL7" s="129"/>
      <c r="BM7" s="129" t="s">
        <v>58</v>
      </c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34">
        <v>7</v>
      </c>
      <c r="CA7" s="34">
        <v>8</v>
      </c>
      <c r="CB7" s="34">
        <v>9</v>
      </c>
      <c r="CC7" s="34">
        <v>10</v>
      </c>
      <c r="CD7" s="34">
        <v>11</v>
      </c>
      <c r="CE7" s="34">
        <v>12</v>
      </c>
    </row>
    <row r="8" spans="1:83" ht="8.25" customHeight="1" hidden="1">
      <c r="A8" s="36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36"/>
      <c r="CA8" s="36"/>
      <c r="CB8" s="36"/>
      <c r="CC8" s="36"/>
      <c r="CD8" s="36"/>
      <c r="CE8" s="36"/>
    </row>
    <row r="9" spans="1:83" ht="8.25" customHeight="1" hidden="1">
      <c r="A9" s="36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36"/>
      <c r="CA9" s="36"/>
      <c r="CB9" s="36"/>
      <c r="CC9" s="36"/>
      <c r="CD9" s="36"/>
      <c r="CE9" s="36"/>
    </row>
    <row r="10" spans="1:83" ht="18" customHeight="1" hidden="1">
      <c r="A10" s="131" t="s">
        <v>59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27" t="s">
        <v>44</v>
      </c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 t="s">
        <v>44</v>
      </c>
      <c r="AV10" s="127"/>
      <c r="AW10" s="127"/>
      <c r="AX10" s="127"/>
      <c r="AY10" s="127"/>
      <c r="AZ10" s="127"/>
      <c r="BA10" s="127"/>
      <c r="BB10" s="127"/>
      <c r="BC10" s="127"/>
      <c r="BD10" s="127" t="s">
        <v>44</v>
      </c>
      <c r="BE10" s="127"/>
      <c r="BF10" s="127"/>
      <c r="BG10" s="127"/>
      <c r="BH10" s="127"/>
      <c r="BI10" s="127"/>
      <c r="BJ10" s="127"/>
      <c r="BK10" s="127"/>
      <c r="BL10" s="127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36"/>
      <c r="CA10" s="36"/>
      <c r="CB10" s="36"/>
      <c r="CC10" s="36"/>
      <c r="CD10" s="36"/>
      <c r="CE10" s="36"/>
    </row>
    <row r="11" spans="1:83" ht="8.25" customHeight="1" hidden="1">
      <c r="A11" s="36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36"/>
      <c r="CA11" s="36"/>
      <c r="CB11" s="36"/>
      <c r="CC11" s="36"/>
      <c r="CD11" s="36"/>
      <c r="CE11" s="36"/>
    </row>
    <row r="12" spans="1:83" ht="8.25" customHeight="1" hidden="1">
      <c r="A12" s="36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36"/>
      <c r="CA12" s="36"/>
      <c r="CB12" s="36"/>
      <c r="CC12" s="36"/>
      <c r="CD12" s="36"/>
      <c r="CE12" s="36"/>
    </row>
    <row r="13" spans="1:83" ht="16.5" customHeight="1" hidden="1">
      <c r="A13" s="131" t="s">
        <v>60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27" t="s">
        <v>44</v>
      </c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 t="s">
        <v>44</v>
      </c>
      <c r="AV13" s="127"/>
      <c r="AW13" s="127"/>
      <c r="AX13" s="127"/>
      <c r="AY13" s="127"/>
      <c r="AZ13" s="127"/>
      <c r="BA13" s="127"/>
      <c r="BB13" s="127"/>
      <c r="BC13" s="127"/>
      <c r="BD13" s="127" t="s">
        <v>44</v>
      </c>
      <c r="BE13" s="127"/>
      <c r="BF13" s="127"/>
      <c r="BG13" s="127"/>
      <c r="BH13" s="127"/>
      <c r="BI13" s="127"/>
      <c r="BJ13" s="127"/>
      <c r="BK13" s="127"/>
      <c r="BL13" s="127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36"/>
      <c r="CA13" s="36"/>
      <c r="CB13" s="36"/>
      <c r="CC13" s="36"/>
      <c r="CD13" s="36"/>
      <c r="CE13" s="36"/>
    </row>
    <row r="14" s="37" customFormat="1" ht="8.25" customHeight="1" hidden="1"/>
    <row r="15" s="37" customFormat="1" ht="8.25" customHeight="1" hidden="1"/>
    <row r="16" s="37" customFormat="1" ht="8.25" customHeight="1" hidden="1"/>
    <row r="17" s="37" customFormat="1" ht="8.25" customHeight="1" hidden="1"/>
    <row r="18" spans="1:83" s="32" customFormat="1" ht="22.5" customHeight="1" hidden="1">
      <c r="A18" s="31" t="s">
        <v>61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</row>
    <row r="19" s="33" customFormat="1" ht="8.25" customHeight="1" hidden="1"/>
    <row r="20" spans="1:83" ht="8.25" customHeight="1" hidden="1">
      <c r="A20" s="129" t="s">
        <v>7</v>
      </c>
      <c r="B20" s="129" t="s">
        <v>53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6" t="s">
        <v>62</v>
      </c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 t="s">
        <v>63</v>
      </c>
      <c r="AS20" s="126"/>
      <c r="AT20" s="126"/>
      <c r="AU20" s="126"/>
      <c r="AV20" s="126"/>
      <c r="AW20" s="126"/>
      <c r="AX20" s="126"/>
      <c r="AY20" s="126"/>
      <c r="AZ20" s="126"/>
      <c r="BA20" s="126"/>
      <c r="BB20" s="126" t="s">
        <v>64</v>
      </c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 t="s">
        <v>65</v>
      </c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7" t="s">
        <v>12</v>
      </c>
      <c r="CA20" s="127"/>
      <c r="CB20" s="127"/>
      <c r="CC20" s="127"/>
      <c r="CD20" s="127"/>
      <c r="CE20" s="127"/>
    </row>
    <row r="21" spans="1:83" ht="41.25" customHeight="1" hidden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 t="s">
        <v>17</v>
      </c>
      <c r="CA21" s="126"/>
      <c r="CB21" s="126" t="s">
        <v>18</v>
      </c>
      <c r="CC21" s="126"/>
      <c r="CD21" s="126"/>
      <c r="CE21" s="126" t="s">
        <v>19</v>
      </c>
    </row>
    <row r="22" spans="1:83" ht="8.25" customHeight="1" hidden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8" t="s">
        <v>20</v>
      </c>
      <c r="CA22" s="128" t="s">
        <v>21</v>
      </c>
      <c r="CB22" s="128" t="s">
        <v>22</v>
      </c>
      <c r="CC22" s="128" t="s">
        <v>20</v>
      </c>
      <c r="CD22" s="128" t="s">
        <v>21</v>
      </c>
      <c r="CE22" s="126"/>
    </row>
    <row r="23" spans="1:83" ht="30" customHeight="1" hidden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8"/>
      <c r="CA23" s="128"/>
      <c r="CB23" s="128"/>
      <c r="CC23" s="128"/>
      <c r="CD23" s="128"/>
      <c r="CE23" s="126"/>
    </row>
    <row r="24" spans="1:83" ht="14.25" customHeight="1" hidden="1">
      <c r="A24" s="35">
        <v>1</v>
      </c>
      <c r="B24" s="129">
        <v>2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>
        <v>3</v>
      </c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>
        <v>4</v>
      </c>
      <c r="AS24" s="129"/>
      <c r="AT24" s="129"/>
      <c r="AU24" s="129"/>
      <c r="AV24" s="129"/>
      <c r="AW24" s="129"/>
      <c r="AX24" s="129"/>
      <c r="AY24" s="129"/>
      <c r="AZ24" s="129"/>
      <c r="BA24" s="129"/>
      <c r="BB24" s="129">
        <v>5</v>
      </c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 t="s">
        <v>58</v>
      </c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34">
        <v>7</v>
      </c>
      <c r="CA24" s="34">
        <v>8</v>
      </c>
      <c r="CB24" s="34">
        <v>9</v>
      </c>
      <c r="CC24" s="34">
        <v>10</v>
      </c>
      <c r="CD24" s="34">
        <v>11</v>
      </c>
      <c r="CE24" s="34">
        <v>12</v>
      </c>
    </row>
    <row r="25" spans="1:83" ht="55.5" customHeight="1" hidden="1">
      <c r="A25" s="34">
        <v>1</v>
      </c>
      <c r="B25" s="132" t="s">
        <v>66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1">
        <v>1</v>
      </c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>
        <v>12</v>
      </c>
      <c r="AS25" s="131"/>
      <c r="AT25" s="131"/>
      <c r="AU25" s="131"/>
      <c r="AV25" s="131"/>
      <c r="AW25" s="131"/>
      <c r="AX25" s="131"/>
      <c r="AY25" s="131"/>
      <c r="AZ25" s="131"/>
      <c r="BA25" s="131"/>
      <c r="BB25" s="131">
        <v>50</v>
      </c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3">
        <f>BB25*AR25</f>
        <v>600</v>
      </c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34"/>
      <c r="CA25" s="38"/>
      <c r="CB25" s="36"/>
      <c r="CC25" s="36"/>
      <c r="CD25" s="36"/>
      <c r="CE25" s="38">
        <f>BM25</f>
        <v>600</v>
      </c>
    </row>
    <row r="26" spans="1:83" ht="24.75" customHeight="1" hidden="1">
      <c r="A26" s="134" t="s">
        <v>43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5" t="s">
        <v>44</v>
      </c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 t="s">
        <v>44</v>
      </c>
      <c r="AS26" s="135"/>
      <c r="AT26" s="135"/>
      <c r="AU26" s="135"/>
      <c r="AV26" s="135"/>
      <c r="AW26" s="135"/>
      <c r="AX26" s="135"/>
      <c r="AY26" s="135"/>
      <c r="AZ26" s="135"/>
      <c r="BA26" s="135"/>
      <c r="BB26" s="135" t="s">
        <v>44</v>
      </c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6">
        <f>BM25</f>
        <v>600</v>
      </c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40"/>
      <c r="CA26" s="41"/>
      <c r="CB26" s="36"/>
      <c r="CC26" s="36"/>
      <c r="CD26" s="36"/>
      <c r="CE26" s="39">
        <f>BM26</f>
        <v>600</v>
      </c>
    </row>
    <row r="27" s="37" customFormat="1" ht="8.25" customHeight="1" hidden="1"/>
    <row r="28" s="37" customFormat="1" ht="8.25" customHeight="1" hidden="1"/>
    <row r="29" s="37" customFormat="1" ht="8.25" customHeight="1" hidden="1"/>
    <row r="30" s="37" customFormat="1" ht="8.25" customHeight="1" hidden="1"/>
    <row r="31" s="37" customFormat="1" ht="8.25" customHeight="1" hidden="1"/>
    <row r="32" s="37" customFormat="1" ht="8.25" customHeight="1" hidden="1"/>
    <row r="33" s="37" customFormat="1" ht="8.25" customHeight="1" hidden="1"/>
    <row r="34" s="37" customFormat="1" ht="8.25" customHeight="1" hidden="1"/>
    <row r="35" spans="1:83" s="37" customFormat="1" ht="8.25" customHeight="1" hidden="1">
      <c r="A35" s="31" t="s">
        <v>67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</row>
    <row r="36" spans="1:83" s="37" customFormat="1" ht="8.25" customHeight="1" hidden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</row>
    <row r="37" spans="1:83" s="37" customFormat="1" ht="8.25" customHeight="1" hidden="1">
      <c r="A37" s="129" t="s">
        <v>7</v>
      </c>
      <c r="B37" s="129" t="s">
        <v>53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6" t="s">
        <v>55</v>
      </c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 t="s">
        <v>68</v>
      </c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 t="s">
        <v>65</v>
      </c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7" t="s">
        <v>12</v>
      </c>
      <c r="CA37" s="127"/>
      <c r="CB37" s="127"/>
      <c r="CC37" s="127"/>
      <c r="CD37" s="127"/>
      <c r="CE37" s="127"/>
    </row>
    <row r="38" spans="1:83" s="37" customFormat="1" ht="8.25" customHeight="1" hidden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 t="s">
        <v>17</v>
      </c>
      <c r="CA38" s="126"/>
      <c r="CB38" s="126" t="s">
        <v>18</v>
      </c>
      <c r="CC38" s="126"/>
      <c r="CD38" s="126"/>
      <c r="CE38" s="126" t="s">
        <v>19</v>
      </c>
    </row>
    <row r="39" spans="1:83" s="37" customFormat="1" ht="8.25" customHeight="1" hidden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8" t="s">
        <v>20</v>
      </c>
      <c r="CA39" s="128" t="s">
        <v>21</v>
      </c>
      <c r="CB39" s="128" t="s">
        <v>22</v>
      </c>
      <c r="CC39" s="128" t="s">
        <v>20</v>
      </c>
      <c r="CD39" s="128" t="s">
        <v>21</v>
      </c>
      <c r="CE39" s="126"/>
    </row>
    <row r="40" spans="1:83" s="37" customFormat="1" ht="8.25" customHeight="1" hidden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8"/>
      <c r="CA40" s="128"/>
      <c r="CB40" s="128"/>
      <c r="CC40" s="128"/>
      <c r="CD40" s="128"/>
      <c r="CE40" s="126"/>
    </row>
    <row r="41" spans="1:83" s="37" customFormat="1" ht="8.25" customHeight="1" hidden="1">
      <c r="A41" s="35">
        <v>1</v>
      </c>
      <c r="B41" s="129">
        <v>2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>
        <v>3</v>
      </c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>
        <v>4</v>
      </c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 t="s">
        <v>69</v>
      </c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34">
        <v>6</v>
      </c>
      <c r="CA41" s="34">
        <v>7</v>
      </c>
      <c r="CB41" s="34">
        <v>8</v>
      </c>
      <c r="CC41" s="34">
        <v>9</v>
      </c>
      <c r="CD41" s="34">
        <v>10</v>
      </c>
      <c r="CE41" s="34">
        <v>11</v>
      </c>
    </row>
    <row r="42" spans="1:83" s="37" customFormat="1" ht="8.25" customHeight="1" hidden="1">
      <c r="A42" s="36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36"/>
      <c r="CA42" s="36"/>
      <c r="CB42" s="36"/>
      <c r="CC42" s="36"/>
      <c r="CD42" s="36"/>
      <c r="CE42" s="36"/>
    </row>
    <row r="43" spans="1:83" s="37" customFormat="1" ht="8.25" customHeight="1" hidden="1">
      <c r="A43" s="36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36"/>
      <c r="CA43" s="36"/>
      <c r="CB43" s="36"/>
      <c r="CC43" s="36"/>
      <c r="CD43" s="36"/>
      <c r="CE43" s="36"/>
    </row>
    <row r="44" spans="1:83" s="37" customFormat="1" ht="8.25" customHeight="1" hidden="1">
      <c r="A44" s="131" t="s">
        <v>60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27" t="s">
        <v>44</v>
      </c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 t="s">
        <v>44</v>
      </c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36"/>
      <c r="CA44" s="36"/>
      <c r="CB44" s="36"/>
      <c r="CC44" s="36"/>
      <c r="CD44" s="36"/>
      <c r="CE44" s="36"/>
    </row>
    <row r="45" spans="1:83" s="37" customFormat="1" ht="8.25" customHeight="1" hidden="1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2"/>
      <c r="CA45" s="42"/>
      <c r="CB45" s="42"/>
      <c r="CC45" s="42"/>
      <c r="CD45" s="42"/>
      <c r="CE45" s="42"/>
    </row>
    <row r="46" spans="1:83" s="37" customFormat="1" ht="8.25" customHeight="1" hidden="1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2"/>
      <c r="CA46" s="42"/>
      <c r="CB46" s="42"/>
      <c r="CC46" s="42"/>
      <c r="CD46" s="42"/>
      <c r="CE46" s="42"/>
    </row>
    <row r="47" spans="1:83" s="37" customFormat="1" ht="8.25" customHeight="1" hidden="1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2"/>
      <c r="CA47" s="42"/>
      <c r="CB47" s="42"/>
      <c r="CC47" s="42"/>
      <c r="CD47" s="42"/>
      <c r="CE47" s="42"/>
    </row>
    <row r="48" spans="1:83" s="37" customFormat="1" ht="8.25" customHeight="1" hidden="1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2"/>
      <c r="CA48" s="42"/>
      <c r="CB48" s="42"/>
      <c r="CC48" s="42"/>
      <c r="CD48" s="42"/>
      <c r="CE48" s="42"/>
    </row>
    <row r="49" spans="1:83" s="37" customFormat="1" ht="8.25" customHeight="1" hidden="1">
      <c r="A49" s="137" t="s">
        <v>70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</row>
    <row r="50" spans="1:83" s="37" customFormat="1" ht="8.25" customHeight="1" hidden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</row>
    <row r="51" spans="1:83" s="37" customFormat="1" ht="8.25" customHeight="1" hidden="1">
      <c r="A51" s="125" t="s">
        <v>7</v>
      </c>
      <c r="B51" s="126" t="s">
        <v>53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 t="s">
        <v>71</v>
      </c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 t="s">
        <v>72</v>
      </c>
      <c r="AV51" s="126"/>
      <c r="AW51" s="126"/>
      <c r="AX51" s="126"/>
      <c r="AY51" s="126"/>
      <c r="AZ51" s="126"/>
      <c r="BA51" s="126"/>
      <c r="BB51" s="126"/>
      <c r="BC51" s="126"/>
      <c r="BD51" s="126" t="s">
        <v>56</v>
      </c>
      <c r="BE51" s="126"/>
      <c r="BF51" s="126"/>
      <c r="BG51" s="126"/>
      <c r="BH51" s="126"/>
      <c r="BI51" s="126"/>
      <c r="BJ51" s="126"/>
      <c r="BK51" s="126"/>
      <c r="BL51" s="126"/>
      <c r="BM51" s="126" t="s">
        <v>57</v>
      </c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7" t="s">
        <v>12</v>
      </c>
      <c r="CA51" s="127"/>
      <c r="CB51" s="127"/>
      <c r="CC51" s="127"/>
      <c r="CD51" s="127"/>
      <c r="CE51" s="127"/>
    </row>
    <row r="52" spans="1:83" s="37" customFormat="1" ht="8.25" customHeight="1" hidden="1">
      <c r="A52" s="125"/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 t="s">
        <v>17</v>
      </c>
      <c r="CA52" s="126"/>
      <c r="CB52" s="126" t="s">
        <v>18</v>
      </c>
      <c r="CC52" s="126"/>
      <c r="CD52" s="126"/>
      <c r="CE52" s="126" t="s">
        <v>19</v>
      </c>
    </row>
    <row r="53" spans="1:83" s="37" customFormat="1" ht="8.25" customHeight="1" hidden="1">
      <c r="A53" s="125"/>
      <c r="B53" s="125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8" t="s">
        <v>20</v>
      </c>
      <c r="CA53" s="128" t="s">
        <v>21</v>
      </c>
      <c r="CB53" s="128" t="s">
        <v>22</v>
      </c>
      <c r="CC53" s="128" t="s">
        <v>20</v>
      </c>
      <c r="CD53" s="128" t="s">
        <v>21</v>
      </c>
      <c r="CE53" s="126"/>
    </row>
    <row r="54" spans="1:83" s="37" customFormat="1" ht="8.25" customHeight="1" hidden="1">
      <c r="A54" s="125"/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8"/>
      <c r="CA54" s="128"/>
      <c r="CB54" s="128"/>
      <c r="CC54" s="128"/>
      <c r="CD54" s="128"/>
      <c r="CE54" s="126"/>
    </row>
    <row r="55" spans="1:83" s="37" customFormat="1" ht="8.25" customHeight="1" hidden="1">
      <c r="A55" s="35">
        <v>1</v>
      </c>
      <c r="B55" s="129">
        <v>2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>
        <v>3</v>
      </c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>
        <v>4</v>
      </c>
      <c r="AV55" s="129"/>
      <c r="AW55" s="129"/>
      <c r="AX55" s="129"/>
      <c r="AY55" s="129"/>
      <c r="AZ55" s="129"/>
      <c r="BA55" s="129"/>
      <c r="BB55" s="129"/>
      <c r="BC55" s="129"/>
      <c r="BD55" s="129">
        <v>5</v>
      </c>
      <c r="BE55" s="129"/>
      <c r="BF55" s="129"/>
      <c r="BG55" s="129"/>
      <c r="BH55" s="129"/>
      <c r="BI55" s="129"/>
      <c r="BJ55" s="129"/>
      <c r="BK55" s="129"/>
      <c r="BL55" s="129"/>
      <c r="BM55" s="129" t="s">
        <v>58</v>
      </c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34">
        <v>7</v>
      </c>
      <c r="CA55" s="34">
        <v>8</v>
      </c>
      <c r="CB55" s="34">
        <v>9</v>
      </c>
      <c r="CC55" s="34">
        <v>10</v>
      </c>
      <c r="CD55" s="34">
        <v>11</v>
      </c>
      <c r="CE55" s="34">
        <v>12</v>
      </c>
    </row>
    <row r="56" spans="1:83" s="37" customFormat="1" ht="8.25" customHeight="1" hidden="1">
      <c r="A56" s="36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36"/>
      <c r="CA56" s="36"/>
      <c r="CB56" s="36"/>
      <c r="CC56" s="36"/>
      <c r="CD56" s="36"/>
      <c r="CE56" s="36"/>
    </row>
    <row r="57" spans="1:83" s="37" customFormat="1" ht="8.25" customHeight="1" hidden="1">
      <c r="A57" s="36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36"/>
      <c r="CA57" s="36"/>
      <c r="CB57" s="36"/>
      <c r="CC57" s="36"/>
      <c r="CD57" s="36"/>
      <c r="CE57" s="36"/>
    </row>
    <row r="58" spans="1:83" s="37" customFormat="1" ht="8.25" customHeight="1" hidden="1">
      <c r="A58" s="36"/>
      <c r="B58" s="131" t="s">
        <v>73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27" t="s">
        <v>44</v>
      </c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 t="s">
        <v>44</v>
      </c>
      <c r="AV58" s="127"/>
      <c r="AW58" s="127"/>
      <c r="AX58" s="127"/>
      <c r="AY58" s="127"/>
      <c r="AZ58" s="127"/>
      <c r="BA58" s="127"/>
      <c r="BB58" s="127"/>
      <c r="BC58" s="127"/>
      <c r="BD58" s="127" t="s">
        <v>44</v>
      </c>
      <c r="BE58" s="127"/>
      <c r="BF58" s="127"/>
      <c r="BG58" s="127"/>
      <c r="BH58" s="127"/>
      <c r="BI58" s="127"/>
      <c r="BJ58" s="127"/>
      <c r="BK58" s="127"/>
      <c r="BL58" s="127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36"/>
      <c r="CA58" s="36"/>
      <c r="CB58" s="36"/>
      <c r="CC58" s="36"/>
      <c r="CD58" s="36"/>
      <c r="CE58" s="36"/>
    </row>
    <row r="59" s="37" customFormat="1" ht="8.25" customHeight="1" hidden="1"/>
    <row r="60" s="37" customFormat="1" ht="8.25" customHeight="1" hidden="1"/>
    <row r="61" s="37" customFormat="1" ht="6.75" customHeight="1" hidden="1"/>
    <row r="62" s="37" customFormat="1" ht="18.75" customHeight="1" hidden="1"/>
    <row r="63" s="37" customFormat="1" ht="15" customHeight="1" hidden="1"/>
    <row r="64" s="37" customFormat="1" ht="8.25" customHeight="1"/>
    <row r="65" spans="1:83" s="32" customFormat="1" ht="20.25" customHeight="1">
      <c r="A65" s="138" t="s">
        <v>74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</row>
    <row r="66" spans="1:83" ht="21" customHeight="1">
      <c r="A66" s="138" t="s">
        <v>75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</row>
    <row r="67" s="33" customFormat="1" ht="8.25" customHeight="1"/>
    <row r="68" spans="1:84" s="65" customFormat="1" ht="8.25" customHeight="1">
      <c r="A68" s="139" t="s">
        <v>7</v>
      </c>
      <c r="B68" s="139" t="s">
        <v>76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40" t="s">
        <v>77</v>
      </c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 t="s">
        <v>78</v>
      </c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1"/>
      <c r="BZ68" s="142" t="s">
        <v>12</v>
      </c>
      <c r="CA68" s="142"/>
      <c r="CB68" s="142"/>
      <c r="CC68" s="142"/>
      <c r="CD68" s="142"/>
      <c r="CE68" s="142"/>
      <c r="CF68" s="160" t="s">
        <v>243</v>
      </c>
    </row>
    <row r="69" spans="1:84" s="65" customFormat="1" ht="52.5" customHeight="1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1"/>
      <c r="BZ69" s="143" t="s">
        <v>17</v>
      </c>
      <c r="CA69" s="143"/>
      <c r="CB69" s="143" t="s">
        <v>18</v>
      </c>
      <c r="CC69" s="143"/>
      <c r="CD69" s="143"/>
      <c r="CE69" s="143" t="s">
        <v>19</v>
      </c>
      <c r="CF69" s="161"/>
    </row>
    <row r="70" spans="1:84" s="65" customFormat="1" ht="35.25" customHeight="1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1"/>
      <c r="BZ70" s="144" t="s">
        <v>20</v>
      </c>
      <c r="CA70" s="144" t="s">
        <v>21</v>
      </c>
      <c r="CB70" s="144" t="s">
        <v>22</v>
      </c>
      <c r="CC70" s="144" t="s">
        <v>20</v>
      </c>
      <c r="CD70" s="144" t="s">
        <v>21</v>
      </c>
      <c r="CE70" s="143"/>
      <c r="CF70" s="161"/>
    </row>
    <row r="71" spans="1:84" s="65" customFormat="1" ht="27" customHeight="1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1"/>
      <c r="BZ71" s="144"/>
      <c r="CA71" s="144"/>
      <c r="CB71" s="144"/>
      <c r="CC71" s="144"/>
      <c r="CD71" s="144"/>
      <c r="CE71" s="143"/>
      <c r="CF71" s="161"/>
    </row>
    <row r="72" spans="1:84" s="65" customFormat="1" ht="24" customHeight="1">
      <c r="A72" s="64">
        <v>1</v>
      </c>
      <c r="B72" s="139">
        <v>2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45">
        <v>3</v>
      </c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39">
        <v>4</v>
      </c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46"/>
      <c r="BZ72" s="74">
        <v>5</v>
      </c>
      <c r="CA72" s="74">
        <v>6</v>
      </c>
      <c r="CB72" s="75"/>
      <c r="CC72" s="74">
        <v>7</v>
      </c>
      <c r="CD72" s="74">
        <v>8</v>
      </c>
      <c r="CE72" s="74">
        <v>9</v>
      </c>
      <c r="CF72" s="162"/>
    </row>
    <row r="73" spans="1:84" s="65" customFormat="1" ht="18" customHeight="1">
      <c r="A73" s="68">
        <v>1</v>
      </c>
      <c r="B73" s="147" t="s">
        <v>79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5" t="s">
        <v>44</v>
      </c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69"/>
      <c r="CA73" s="69"/>
      <c r="CB73" s="69"/>
      <c r="CC73" s="69"/>
      <c r="CD73" s="69"/>
      <c r="CE73" s="69"/>
      <c r="CF73" s="66"/>
    </row>
    <row r="74" spans="1:84" s="65" customFormat="1" ht="8.25" customHeight="1">
      <c r="A74" s="146" t="s">
        <v>80</v>
      </c>
      <c r="B74" s="149" t="s">
        <v>81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50">
        <f>Лист1!J111</f>
        <v>1616105.6199999999</v>
      </c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>
        <f>CA74+CE74</f>
        <v>355543.2364</v>
      </c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>
        <f>BB74*22%</f>
        <v>355543.2364</v>
      </c>
      <c r="CB74" s="150"/>
      <c r="CC74" s="150"/>
      <c r="CD74" s="150"/>
      <c r="CE74" s="150"/>
      <c r="CF74" s="150">
        <f>355543.24-327834.29</f>
        <v>27708.95000000001</v>
      </c>
    </row>
    <row r="75" spans="1:84" s="65" customFormat="1" ht="18" customHeight="1">
      <c r="A75" s="146"/>
      <c r="B75" s="151" t="s">
        <v>82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</row>
    <row r="76" spans="1:84" s="65" customFormat="1" ht="8.25" customHeight="1">
      <c r="A76" s="67" t="s">
        <v>83</v>
      </c>
      <c r="B76" s="152" t="s">
        <v>84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70"/>
      <c r="CA76" s="70"/>
      <c r="CB76" s="70"/>
      <c r="CC76" s="70"/>
      <c r="CD76" s="70"/>
      <c r="CE76" s="70"/>
      <c r="CF76" s="70"/>
    </row>
    <row r="77" spans="1:84" s="65" customFormat="1" ht="15.75" customHeight="1">
      <c r="A77" s="146" t="s">
        <v>85</v>
      </c>
      <c r="B77" s="149" t="s">
        <v>86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</row>
    <row r="78" spans="1:84" s="65" customFormat="1" ht="15" customHeight="1">
      <c r="A78" s="146"/>
      <c r="B78" s="151" t="s">
        <v>87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</row>
    <row r="79" spans="1:84" s="65" customFormat="1" ht="16.5" customHeight="1">
      <c r="A79" s="146">
        <v>2</v>
      </c>
      <c r="B79" s="153" t="s">
        <v>88</v>
      </c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0" t="s">
        <v>44</v>
      </c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</row>
    <row r="80" spans="1:84" s="65" customFormat="1" ht="18.75" customHeight="1">
      <c r="A80" s="146"/>
      <c r="B80" s="147" t="s">
        <v>89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</row>
    <row r="81" spans="1:84" s="65" customFormat="1" ht="8.25" customHeight="1">
      <c r="A81" s="146" t="s">
        <v>90</v>
      </c>
      <c r="B81" s="149" t="s">
        <v>81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50">
        <v>1616105.6199999999</v>
      </c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>
        <f>CA81+CE81</f>
        <v>46867.062979999995</v>
      </c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>
        <f>BB81*2.9%</f>
        <v>46867.062979999995</v>
      </c>
      <c r="CB81" s="150"/>
      <c r="CC81" s="150"/>
      <c r="CD81" s="150"/>
      <c r="CE81" s="150"/>
      <c r="CF81" s="150">
        <f>46867.06-43214.52</f>
        <v>3652.540000000001</v>
      </c>
    </row>
    <row r="82" spans="1:84" s="65" customFormat="1" ht="18" customHeight="1">
      <c r="A82" s="146"/>
      <c r="B82" s="154" t="s">
        <v>91</v>
      </c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</row>
    <row r="83" spans="1:84" s="65" customFormat="1" ht="16.5" customHeight="1">
      <c r="A83" s="146"/>
      <c r="B83" s="151" t="s">
        <v>92</v>
      </c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0"/>
      <c r="BC83" s="150"/>
      <c r="BD83" s="150"/>
      <c r="BE83" s="150"/>
      <c r="BF83" s="150"/>
      <c r="BG83" s="150"/>
      <c r="BH83" s="150"/>
      <c r="BI83" s="150"/>
      <c r="BJ83" s="150"/>
      <c r="BK83" s="150"/>
      <c r="BL83" s="150"/>
      <c r="BM83" s="150"/>
      <c r="BN83" s="150"/>
      <c r="BO83" s="150"/>
      <c r="BP83" s="150"/>
      <c r="BQ83" s="150"/>
      <c r="BR83" s="150"/>
      <c r="BS83" s="150"/>
      <c r="BT83" s="150"/>
      <c r="BU83" s="150"/>
      <c r="BV83" s="150"/>
      <c r="BW83" s="150"/>
      <c r="BX83" s="150"/>
      <c r="BY83" s="150"/>
      <c r="BZ83" s="150"/>
      <c r="CA83" s="150"/>
      <c r="CB83" s="150"/>
      <c r="CC83" s="150"/>
      <c r="CD83" s="150"/>
      <c r="CE83" s="150"/>
      <c r="CF83" s="150"/>
    </row>
    <row r="84" spans="1:84" s="65" customFormat="1" ht="17.25" customHeight="1">
      <c r="A84" s="146" t="s">
        <v>93</v>
      </c>
      <c r="B84" s="149" t="s">
        <v>94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150"/>
      <c r="CF84" s="150"/>
    </row>
    <row r="85" spans="1:84" s="65" customFormat="1" ht="13.5" customHeight="1">
      <c r="A85" s="146"/>
      <c r="B85" s="151" t="s">
        <v>95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0"/>
      <c r="BC85" s="150"/>
      <c r="BD85" s="150"/>
      <c r="BE85" s="150"/>
      <c r="BF85" s="150"/>
      <c r="BG85" s="150"/>
      <c r="BH85" s="150"/>
      <c r="BI85" s="150"/>
      <c r="BJ85" s="150"/>
      <c r="BK85" s="150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</row>
    <row r="86" spans="1:84" s="65" customFormat="1" ht="15" customHeight="1">
      <c r="A86" s="146" t="s">
        <v>96</v>
      </c>
      <c r="B86" s="149" t="s">
        <v>97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50">
        <v>1616105.6199999999</v>
      </c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>
        <f>CA86+CE86</f>
        <v>3232.2112399999996</v>
      </c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>
        <f>BB86*0.2%</f>
        <v>3232.2112399999996</v>
      </c>
      <c r="CB86" s="150"/>
      <c r="CC86" s="150"/>
      <c r="CD86" s="150"/>
      <c r="CE86" s="150"/>
      <c r="CF86" s="150">
        <f>3232.21-2980.31</f>
        <v>251.9000000000001</v>
      </c>
    </row>
    <row r="87" spans="1:84" s="65" customFormat="1" ht="18" customHeight="1">
      <c r="A87" s="146"/>
      <c r="B87" s="151" t="s">
        <v>98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0"/>
      <c r="BC87" s="150"/>
      <c r="BD87" s="150"/>
      <c r="BE87" s="150"/>
      <c r="BF87" s="150"/>
      <c r="BG87" s="150"/>
      <c r="BH87" s="150"/>
      <c r="BI87" s="150"/>
      <c r="BJ87" s="150"/>
      <c r="BK87" s="150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</row>
    <row r="88" spans="1:84" s="65" customFormat="1" ht="16.5" customHeight="1">
      <c r="A88" s="146" t="s">
        <v>99</v>
      </c>
      <c r="B88" s="149" t="s">
        <v>97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</row>
    <row r="89" spans="1:84" s="65" customFormat="1" ht="15.75" customHeight="1">
      <c r="A89" s="146"/>
      <c r="B89" s="151" t="s">
        <v>249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</row>
    <row r="90" spans="1:84" s="65" customFormat="1" ht="16.5" customHeight="1">
      <c r="A90" s="146" t="s">
        <v>100</v>
      </c>
      <c r="B90" s="149" t="s">
        <v>97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/>
    </row>
    <row r="91" spans="1:84" s="65" customFormat="1" ht="18.75" customHeight="1">
      <c r="A91" s="146"/>
      <c r="B91" s="151" t="s">
        <v>249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0"/>
      <c r="BZ91" s="150"/>
      <c r="CA91" s="150"/>
      <c r="CB91" s="150"/>
      <c r="CC91" s="150"/>
      <c r="CD91" s="150"/>
      <c r="CE91" s="150"/>
      <c r="CF91" s="150"/>
    </row>
    <row r="92" spans="1:84" s="65" customFormat="1" ht="15" customHeight="1">
      <c r="A92" s="146">
        <v>3</v>
      </c>
      <c r="B92" s="153" t="s">
        <v>101</v>
      </c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0">
        <v>1616105.6199999999</v>
      </c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>
        <f>CA92+CE92</f>
        <v>82421.38661999999</v>
      </c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0"/>
      <c r="CA92" s="150">
        <f>BB92*5.1%</f>
        <v>82421.38661999999</v>
      </c>
      <c r="CB92" s="150"/>
      <c r="CC92" s="150"/>
      <c r="CD92" s="150"/>
      <c r="CE92" s="150"/>
      <c r="CF92" s="150">
        <f>82421.39-75997.95</f>
        <v>6423.440000000002</v>
      </c>
    </row>
    <row r="93" spans="1:84" s="65" customFormat="1" ht="18" customHeight="1">
      <c r="A93" s="146"/>
      <c r="B93" s="147" t="s">
        <v>102</v>
      </c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</row>
    <row r="94" spans="1:84" s="65" customFormat="1" ht="19.5" customHeight="1">
      <c r="A94" s="71"/>
      <c r="B94" s="155" t="s">
        <v>103</v>
      </c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6" t="s">
        <v>44</v>
      </c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7">
        <f>SUM(BN74:BY93)</f>
        <v>488063.89723999996</v>
      </c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72"/>
      <c r="CA94" s="72">
        <f>SUM(CA74:CA93)</f>
        <v>488063.89723999996</v>
      </c>
      <c r="CB94" s="73"/>
      <c r="CC94" s="73"/>
      <c r="CD94" s="73"/>
      <c r="CE94" s="72"/>
      <c r="CF94" s="72">
        <f>SUM(CF74:CF93)</f>
        <v>38036.830000000016</v>
      </c>
    </row>
    <row r="95" spans="1:15" ht="8.2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77" s="48" customFormat="1" ht="8.25" customHeight="1">
      <c r="A96" s="158" t="s">
        <v>104</v>
      </c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</row>
    <row r="97" spans="1:77" ht="8.25" customHeight="1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</row>
    <row r="98" spans="1:77" ht="30" customHeight="1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</row>
  </sheetData>
  <sheetProtection selectLockedCells="1" selectUnlockedCells="1"/>
  <mergeCells count="284">
    <mergeCell ref="CF90:CF91"/>
    <mergeCell ref="CF92:CF93"/>
    <mergeCell ref="A96:BY98"/>
    <mergeCell ref="CF68:CF72"/>
    <mergeCell ref="CF74:CF75"/>
    <mergeCell ref="CF77:CF78"/>
    <mergeCell ref="CF79:CF80"/>
    <mergeCell ref="CF81:CF83"/>
    <mergeCell ref="CF84:CF85"/>
    <mergeCell ref="CF86:CF87"/>
    <mergeCell ref="CF88:CF89"/>
    <mergeCell ref="CB92:CB93"/>
    <mergeCell ref="CC92:CC93"/>
    <mergeCell ref="CD92:CD93"/>
    <mergeCell ref="CE92:CE93"/>
    <mergeCell ref="B93:BA93"/>
    <mergeCell ref="BZ92:BZ93"/>
    <mergeCell ref="CA92:CA93"/>
    <mergeCell ref="CA90:CA91"/>
    <mergeCell ref="CB90:CB91"/>
    <mergeCell ref="B94:BA94"/>
    <mergeCell ref="BB94:BM94"/>
    <mergeCell ref="BN94:BY94"/>
    <mergeCell ref="A92:A93"/>
    <mergeCell ref="B92:BA92"/>
    <mergeCell ref="BB92:BM93"/>
    <mergeCell ref="BN92:BY93"/>
    <mergeCell ref="CC90:CC91"/>
    <mergeCell ref="CD90:CD91"/>
    <mergeCell ref="CE90:CE91"/>
    <mergeCell ref="B91:BA91"/>
    <mergeCell ref="CB88:CB89"/>
    <mergeCell ref="CC88:CC89"/>
    <mergeCell ref="CD88:CD89"/>
    <mergeCell ref="CE88:CE89"/>
    <mergeCell ref="B89:BA89"/>
    <mergeCell ref="CA88:CA89"/>
    <mergeCell ref="A90:A91"/>
    <mergeCell ref="B90:BA90"/>
    <mergeCell ref="BB90:BM91"/>
    <mergeCell ref="BN90:BY91"/>
    <mergeCell ref="BZ90:BZ91"/>
    <mergeCell ref="A88:A89"/>
    <mergeCell ref="B88:BA88"/>
    <mergeCell ref="BB88:BM89"/>
    <mergeCell ref="BN88:BY89"/>
    <mergeCell ref="BZ88:BZ89"/>
    <mergeCell ref="CA86:CA87"/>
    <mergeCell ref="CB86:CB87"/>
    <mergeCell ref="CC86:CC87"/>
    <mergeCell ref="CD86:CD87"/>
    <mergeCell ref="CE86:CE87"/>
    <mergeCell ref="B87:BA87"/>
    <mergeCell ref="CB84:CB85"/>
    <mergeCell ref="CC84:CC85"/>
    <mergeCell ref="CD84:CD85"/>
    <mergeCell ref="CE84:CE85"/>
    <mergeCell ref="B85:BA85"/>
    <mergeCell ref="A86:A87"/>
    <mergeCell ref="B86:BA86"/>
    <mergeCell ref="BB86:BM87"/>
    <mergeCell ref="BN86:BY87"/>
    <mergeCell ref="BZ86:BZ87"/>
    <mergeCell ref="A84:A85"/>
    <mergeCell ref="B84:BA84"/>
    <mergeCell ref="BB84:BM85"/>
    <mergeCell ref="BN84:BY85"/>
    <mergeCell ref="BZ84:BZ85"/>
    <mergeCell ref="CA84:CA85"/>
    <mergeCell ref="CA81:CA83"/>
    <mergeCell ref="CB81:CB83"/>
    <mergeCell ref="CC81:CC83"/>
    <mergeCell ref="CD81:CD83"/>
    <mergeCell ref="CE81:CE83"/>
    <mergeCell ref="B82:BA82"/>
    <mergeCell ref="B83:BA83"/>
    <mergeCell ref="CB79:CB80"/>
    <mergeCell ref="CC79:CC80"/>
    <mergeCell ref="CD79:CD80"/>
    <mergeCell ref="CE79:CE80"/>
    <mergeCell ref="B80:BA80"/>
    <mergeCell ref="A81:A83"/>
    <mergeCell ref="B81:BA81"/>
    <mergeCell ref="BB81:BM83"/>
    <mergeCell ref="BN81:BY83"/>
    <mergeCell ref="BZ81:BZ83"/>
    <mergeCell ref="A79:A80"/>
    <mergeCell ref="B79:BA79"/>
    <mergeCell ref="BB79:BM80"/>
    <mergeCell ref="BN79:BY80"/>
    <mergeCell ref="BZ79:BZ80"/>
    <mergeCell ref="CA79:CA80"/>
    <mergeCell ref="BZ77:BZ78"/>
    <mergeCell ref="CA77:CA78"/>
    <mergeCell ref="CB77:CB78"/>
    <mergeCell ref="CC77:CC78"/>
    <mergeCell ref="CD77:CD78"/>
    <mergeCell ref="CE77:CE78"/>
    <mergeCell ref="B76:BA76"/>
    <mergeCell ref="BB76:BM76"/>
    <mergeCell ref="BN76:BY76"/>
    <mergeCell ref="A77:A78"/>
    <mergeCell ref="B77:BA77"/>
    <mergeCell ref="BB77:BM78"/>
    <mergeCell ref="BN77:BY78"/>
    <mergeCell ref="B78:BA78"/>
    <mergeCell ref="BZ74:BZ75"/>
    <mergeCell ref="CA74:CA75"/>
    <mergeCell ref="CB74:CB75"/>
    <mergeCell ref="CC74:CC75"/>
    <mergeCell ref="CD74:CD75"/>
    <mergeCell ref="CE74:CE75"/>
    <mergeCell ref="B73:BA73"/>
    <mergeCell ref="BB73:BM73"/>
    <mergeCell ref="BN73:BY73"/>
    <mergeCell ref="A74:A75"/>
    <mergeCell ref="B74:BA74"/>
    <mergeCell ref="BB74:BM75"/>
    <mergeCell ref="BN74:BY75"/>
    <mergeCell ref="B75:BA75"/>
    <mergeCell ref="BZ70:BZ71"/>
    <mergeCell ref="CA70:CA71"/>
    <mergeCell ref="CB70:CB71"/>
    <mergeCell ref="CC70:CC71"/>
    <mergeCell ref="CD70:CD71"/>
    <mergeCell ref="B72:BA72"/>
    <mergeCell ref="BB72:BM72"/>
    <mergeCell ref="BN72:BY72"/>
    <mergeCell ref="A65:CE65"/>
    <mergeCell ref="A66:CE66"/>
    <mergeCell ref="A68:A71"/>
    <mergeCell ref="B68:BA71"/>
    <mergeCell ref="BB68:BM71"/>
    <mergeCell ref="BN68:BY71"/>
    <mergeCell ref="BZ68:CE68"/>
    <mergeCell ref="BZ69:CA69"/>
    <mergeCell ref="CB69:CD69"/>
    <mergeCell ref="CE69:CE71"/>
    <mergeCell ref="B57:AF57"/>
    <mergeCell ref="AG57:AT57"/>
    <mergeCell ref="AU57:BC57"/>
    <mergeCell ref="BD57:BL57"/>
    <mergeCell ref="BM57:BY57"/>
    <mergeCell ref="B58:AF58"/>
    <mergeCell ref="AG58:AT58"/>
    <mergeCell ref="AU58:BC58"/>
    <mergeCell ref="BD58:BL58"/>
    <mergeCell ref="BM58:BY58"/>
    <mergeCell ref="B55:AF55"/>
    <mergeCell ref="AG55:AT55"/>
    <mergeCell ref="AU55:BC55"/>
    <mergeCell ref="BD55:BL55"/>
    <mergeCell ref="BM55:BY55"/>
    <mergeCell ref="B56:AF56"/>
    <mergeCell ref="AG56:AT56"/>
    <mergeCell ref="AU56:BC56"/>
    <mergeCell ref="BD56:BL56"/>
    <mergeCell ref="BM56:BY56"/>
    <mergeCell ref="CE52:CE54"/>
    <mergeCell ref="BZ53:BZ54"/>
    <mergeCell ref="CA53:CA54"/>
    <mergeCell ref="CB53:CB54"/>
    <mergeCell ref="CC53:CC54"/>
    <mergeCell ref="CD53:CD54"/>
    <mergeCell ref="A49:CE49"/>
    <mergeCell ref="A51:A54"/>
    <mergeCell ref="B51:AF54"/>
    <mergeCell ref="AG51:AT54"/>
    <mergeCell ref="AU51:BC54"/>
    <mergeCell ref="BD51:BL54"/>
    <mergeCell ref="BM51:BY54"/>
    <mergeCell ref="BZ51:CE51"/>
    <mergeCell ref="BZ52:CA52"/>
    <mergeCell ref="CB52:CD52"/>
    <mergeCell ref="B43:AF43"/>
    <mergeCell ref="AG43:BA43"/>
    <mergeCell ref="BB43:BL43"/>
    <mergeCell ref="BM43:BY43"/>
    <mergeCell ref="A44:AF44"/>
    <mergeCell ref="AG44:BA44"/>
    <mergeCell ref="BB44:BL44"/>
    <mergeCell ref="BM44:BY44"/>
    <mergeCell ref="B41:AF41"/>
    <mergeCell ref="AG41:BA41"/>
    <mergeCell ref="BB41:BL41"/>
    <mergeCell ref="BM41:BY41"/>
    <mergeCell ref="B42:AF42"/>
    <mergeCell ref="AG42:BA42"/>
    <mergeCell ref="BB42:BL42"/>
    <mergeCell ref="BM42:BY42"/>
    <mergeCell ref="BZ37:CE37"/>
    <mergeCell ref="BZ38:CA38"/>
    <mergeCell ref="CB38:CD38"/>
    <mergeCell ref="CE38:CE40"/>
    <mergeCell ref="BZ39:BZ40"/>
    <mergeCell ref="CA39:CA40"/>
    <mergeCell ref="CB39:CB40"/>
    <mergeCell ref="CC39:CC40"/>
    <mergeCell ref="CD39:CD40"/>
    <mergeCell ref="A26:AF26"/>
    <mergeCell ref="AG26:AQ26"/>
    <mergeCell ref="AR26:BA26"/>
    <mergeCell ref="BB26:BL26"/>
    <mergeCell ref="BM26:BY26"/>
    <mergeCell ref="A37:A40"/>
    <mergeCell ref="B37:AF40"/>
    <mergeCell ref="AG37:BA40"/>
    <mergeCell ref="BB37:BL40"/>
    <mergeCell ref="BM37:BY40"/>
    <mergeCell ref="B24:AF24"/>
    <mergeCell ref="AG24:AQ24"/>
    <mergeCell ref="AR24:BA24"/>
    <mergeCell ref="BB24:BL24"/>
    <mergeCell ref="BM24:BY24"/>
    <mergeCell ref="B25:AF25"/>
    <mergeCell ref="AG25:AQ25"/>
    <mergeCell ref="AR25:BA25"/>
    <mergeCell ref="BB25:BL25"/>
    <mergeCell ref="BM25:BY25"/>
    <mergeCell ref="BM20:BY23"/>
    <mergeCell ref="BZ20:CE20"/>
    <mergeCell ref="BZ21:CA21"/>
    <mergeCell ref="CB21:CD21"/>
    <mergeCell ref="CE21:CE23"/>
    <mergeCell ref="BZ22:BZ23"/>
    <mergeCell ref="CA22:CA23"/>
    <mergeCell ref="CB22:CB23"/>
    <mergeCell ref="CC22:CC23"/>
    <mergeCell ref="CD22:CD23"/>
    <mergeCell ref="A13:AF13"/>
    <mergeCell ref="AG13:AT13"/>
    <mergeCell ref="AU13:BC13"/>
    <mergeCell ref="BD13:BL13"/>
    <mergeCell ref="BM13:BY13"/>
    <mergeCell ref="A20:A23"/>
    <mergeCell ref="B20:AF23"/>
    <mergeCell ref="AG20:AQ23"/>
    <mergeCell ref="AR20:BA23"/>
    <mergeCell ref="BB20:BL23"/>
    <mergeCell ref="B11:AF11"/>
    <mergeCell ref="AG11:AT11"/>
    <mergeCell ref="AU11:BC11"/>
    <mergeCell ref="BD11:BL11"/>
    <mergeCell ref="BM11:BY11"/>
    <mergeCell ref="B12:AF12"/>
    <mergeCell ref="AG12:AT12"/>
    <mergeCell ref="AU12:BC12"/>
    <mergeCell ref="BD12:BL12"/>
    <mergeCell ref="BM12:BY12"/>
    <mergeCell ref="B9:AF9"/>
    <mergeCell ref="AG9:AT9"/>
    <mergeCell ref="AU9:BC9"/>
    <mergeCell ref="BD9:BL9"/>
    <mergeCell ref="BM9:BY9"/>
    <mergeCell ref="A10:AF10"/>
    <mergeCell ref="AG10:AT10"/>
    <mergeCell ref="AU10:BC10"/>
    <mergeCell ref="BD10:BL10"/>
    <mergeCell ref="BM10:BY10"/>
    <mergeCell ref="B7:AF7"/>
    <mergeCell ref="AG7:AT7"/>
    <mergeCell ref="AU7:BC7"/>
    <mergeCell ref="BD7:BL7"/>
    <mergeCell ref="BM7:BY7"/>
    <mergeCell ref="B8:AF8"/>
    <mergeCell ref="AG8:AT8"/>
    <mergeCell ref="AU8:BC8"/>
    <mergeCell ref="BD8:BL8"/>
    <mergeCell ref="BM8:BY8"/>
    <mergeCell ref="BZ3:CE3"/>
    <mergeCell ref="BZ4:CA4"/>
    <mergeCell ref="CB4:CD4"/>
    <mergeCell ref="CE4:CE6"/>
    <mergeCell ref="BZ5:BZ6"/>
    <mergeCell ref="CA5:CA6"/>
    <mergeCell ref="CB5:CB6"/>
    <mergeCell ref="CC5:CC6"/>
    <mergeCell ref="CD5:CD6"/>
    <mergeCell ref="A3:A6"/>
    <mergeCell ref="B3:AF6"/>
    <mergeCell ref="AG3:AT6"/>
    <mergeCell ref="AU3:BC6"/>
    <mergeCell ref="BD3:BL6"/>
    <mergeCell ref="BM3:BY6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CH48"/>
  <sheetViews>
    <sheetView zoomScalePageLayoutView="0" workbookViewId="0" topLeftCell="A13">
      <selection activeCell="A34" sqref="A34"/>
    </sheetView>
  </sheetViews>
  <sheetFormatPr defaultColWidth="1.12109375" defaultRowHeight="12.75"/>
  <cols>
    <col min="1" max="1" width="2.125" style="30" customWidth="1"/>
    <col min="2" max="80" width="1.12109375" style="30" customWidth="1"/>
    <col min="81" max="81" width="9.875" style="30" customWidth="1"/>
    <col min="82" max="82" width="9.00390625" style="30" customWidth="1"/>
    <col min="83" max="83" width="8.625" style="30" customWidth="1"/>
    <col min="84" max="84" width="9.00390625" style="30" customWidth="1"/>
    <col min="85" max="85" width="8.125" style="30" customWidth="1"/>
    <col min="86" max="86" width="13.375" style="30" customWidth="1"/>
    <col min="87" max="16384" width="1.12109375" style="30" customWidth="1"/>
  </cols>
  <sheetData>
    <row r="1" ht="15" hidden="1">
      <c r="A1" s="32" t="s">
        <v>105</v>
      </c>
    </row>
    <row r="2" ht="12.75" hidden="1"/>
    <row r="3" spans="1:86" s="32" customFormat="1" ht="45.75" customHeight="1" hidden="1">
      <c r="A3" s="137" t="s">
        <v>106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</row>
    <row r="4" spans="1:80" s="50" customFormat="1" ht="17.25" customHeight="1" hidden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</row>
    <row r="5" spans="1:86" ht="12.75" customHeight="1" hidden="1">
      <c r="A5" s="126" t="s">
        <v>7</v>
      </c>
      <c r="B5" s="126"/>
      <c r="C5" s="126"/>
      <c r="D5" s="126"/>
      <c r="E5" s="129" t="s">
        <v>53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6" t="s">
        <v>107</v>
      </c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 t="s">
        <v>72</v>
      </c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 t="s">
        <v>108</v>
      </c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7" t="s">
        <v>12</v>
      </c>
      <c r="CD5" s="127"/>
      <c r="CE5" s="127"/>
      <c r="CF5" s="127"/>
      <c r="CG5" s="127"/>
      <c r="CH5" s="127"/>
    </row>
    <row r="6" spans="1:86" ht="89.25" customHeight="1" hidden="1">
      <c r="A6" s="126"/>
      <c r="B6" s="126"/>
      <c r="C6" s="126"/>
      <c r="D6" s="126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 t="s">
        <v>17</v>
      </c>
      <c r="CD6" s="126"/>
      <c r="CE6" s="126" t="s">
        <v>18</v>
      </c>
      <c r="CF6" s="126"/>
      <c r="CG6" s="126"/>
      <c r="CH6" s="126" t="s">
        <v>19</v>
      </c>
    </row>
    <row r="7" spans="1:86" ht="12.75" customHeight="1" hidden="1">
      <c r="A7" s="126"/>
      <c r="B7" s="126"/>
      <c r="C7" s="126"/>
      <c r="D7" s="126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8" t="s">
        <v>20</v>
      </c>
      <c r="CD7" s="128" t="s">
        <v>21</v>
      </c>
      <c r="CE7" s="128" t="s">
        <v>22</v>
      </c>
      <c r="CF7" s="128" t="s">
        <v>20</v>
      </c>
      <c r="CG7" s="128" t="s">
        <v>21</v>
      </c>
      <c r="CH7" s="126"/>
    </row>
    <row r="8" spans="1:86" ht="12.75" hidden="1">
      <c r="A8" s="126"/>
      <c r="B8" s="126"/>
      <c r="C8" s="126"/>
      <c r="D8" s="126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8"/>
      <c r="CD8" s="128"/>
      <c r="CE8" s="128"/>
      <c r="CF8" s="128"/>
      <c r="CG8" s="128"/>
      <c r="CH8" s="126"/>
    </row>
    <row r="9" spans="1:86" ht="12.75" hidden="1">
      <c r="A9" s="129">
        <v>1</v>
      </c>
      <c r="B9" s="129"/>
      <c r="C9" s="129"/>
      <c r="D9" s="129"/>
      <c r="E9" s="129">
        <v>2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>
        <v>3</v>
      </c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>
        <v>4</v>
      </c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 t="s">
        <v>69</v>
      </c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35">
        <v>6</v>
      </c>
      <c r="CD9" s="35">
        <v>7</v>
      </c>
      <c r="CE9" s="35">
        <v>8</v>
      </c>
      <c r="CF9" s="35">
        <v>9</v>
      </c>
      <c r="CG9" s="35">
        <v>10</v>
      </c>
      <c r="CH9" s="35">
        <v>11</v>
      </c>
    </row>
    <row r="10" spans="1:86" ht="12.75" hidden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36"/>
      <c r="CD10" s="36"/>
      <c r="CE10" s="36"/>
      <c r="CF10" s="36"/>
      <c r="CG10" s="36"/>
      <c r="CH10" s="36"/>
    </row>
    <row r="11" spans="1:86" ht="12.75" hidden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36"/>
      <c r="CD11" s="36"/>
      <c r="CE11" s="36"/>
      <c r="CF11" s="36"/>
      <c r="CG11" s="36"/>
      <c r="CH11" s="36"/>
    </row>
    <row r="12" spans="1:86" ht="12.75" hidden="1">
      <c r="A12" s="131" t="s">
        <v>109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27" t="s">
        <v>44</v>
      </c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 t="s">
        <v>44</v>
      </c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36"/>
      <c r="CD12" s="36"/>
      <c r="CE12" s="36"/>
      <c r="CF12" s="36"/>
      <c r="CG12" s="36"/>
      <c r="CH12" s="36"/>
    </row>
    <row r="13" s="37" customFormat="1" ht="15"/>
    <row r="14" s="37" customFormat="1" ht="15">
      <c r="A14" s="32" t="s">
        <v>110</v>
      </c>
    </row>
    <row r="15" s="37" customFormat="1" ht="15"/>
    <row r="16" spans="1:80" s="32" customFormat="1" ht="15">
      <c r="A16" s="31" t="s">
        <v>111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</row>
    <row r="18" spans="1:86" ht="12.75" customHeight="1">
      <c r="A18" s="126" t="s">
        <v>7</v>
      </c>
      <c r="B18" s="126"/>
      <c r="C18" s="126"/>
      <c r="D18" s="126"/>
      <c r="E18" s="129" t="s">
        <v>53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6" t="s">
        <v>112</v>
      </c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 t="s">
        <v>113</v>
      </c>
      <c r="BC18" s="126"/>
      <c r="BD18" s="126"/>
      <c r="BE18" s="126"/>
      <c r="BF18" s="126"/>
      <c r="BG18" s="126"/>
      <c r="BH18" s="126"/>
      <c r="BI18" s="126"/>
      <c r="BJ18" s="126" t="s">
        <v>114</v>
      </c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7" t="s">
        <v>12</v>
      </c>
      <c r="CD18" s="127"/>
      <c r="CE18" s="127"/>
      <c r="CF18" s="127"/>
      <c r="CG18" s="127"/>
      <c r="CH18" s="127"/>
    </row>
    <row r="19" spans="1:86" ht="93" customHeight="1">
      <c r="A19" s="126"/>
      <c r="B19" s="126"/>
      <c r="C19" s="126"/>
      <c r="D19" s="126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 t="s">
        <v>17</v>
      </c>
      <c r="CD19" s="126"/>
      <c r="CE19" s="126" t="s">
        <v>18</v>
      </c>
      <c r="CF19" s="126"/>
      <c r="CG19" s="126"/>
      <c r="CH19" s="126" t="s">
        <v>19</v>
      </c>
    </row>
    <row r="20" spans="1:86" ht="12.75" customHeight="1">
      <c r="A20" s="126"/>
      <c r="B20" s="126"/>
      <c r="C20" s="126"/>
      <c r="D20" s="126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8" t="s">
        <v>20</v>
      </c>
      <c r="CD20" s="128" t="s">
        <v>21</v>
      </c>
      <c r="CE20" s="128" t="s">
        <v>22</v>
      </c>
      <c r="CF20" s="128" t="s">
        <v>20</v>
      </c>
      <c r="CG20" s="128" t="s">
        <v>21</v>
      </c>
      <c r="CH20" s="126"/>
    </row>
    <row r="21" spans="1:86" ht="12.75">
      <c r="A21" s="126"/>
      <c r="B21" s="126"/>
      <c r="C21" s="126"/>
      <c r="D21" s="126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8"/>
      <c r="CD21" s="128"/>
      <c r="CE21" s="128"/>
      <c r="CF21" s="128"/>
      <c r="CG21" s="128"/>
      <c r="CH21" s="126"/>
    </row>
    <row r="22" spans="1:86" ht="12.75">
      <c r="A22" s="129">
        <v>1</v>
      </c>
      <c r="B22" s="129"/>
      <c r="C22" s="129"/>
      <c r="D22" s="129"/>
      <c r="E22" s="129">
        <v>2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>
        <v>3</v>
      </c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>
        <v>4</v>
      </c>
      <c r="BC22" s="129"/>
      <c r="BD22" s="129"/>
      <c r="BE22" s="129"/>
      <c r="BF22" s="129"/>
      <c r="BG22" s="129"/>
      <c r="BH22" s="129"/>
      <c r="BI22" s="129"/>
      <c r="BJ22" s="129" t="s">
        <v>115</v>
      </c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35">
        <v>6</v>
      </c>
      <c r="CD22" s="35">
        <v>7</v>
      </c>
      <c r="CE22" s="35">
        <v>8</v>
      </c>
      <c r="CF22" s="35">
        <v>9</v>
      </c>
      <c r="CG22" s="35">
        <v>10</v>
      </c>
      <c r="CH22" s="35">
        <v>11</v>
      </c>
    </row>
    <row r="23" spans="1:86" ht="12.75">
      <c r="A23" s="130">
        <v>1</v>
      </c>
      <c r="B23" s="130"/>
      <c r="C23" s="130"/>
      <c r="D23" s="130"/>
      <c r="E23" s="130" t="s">
        <v>116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63">
        <v>2500000</v>
      </c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31">
        <v>6</v>
      </c>
      <c r="BC23" s="131"/>
      <c r="BD23" s="131"/>
      <c r="BE23" s="131"/>
      <c r="BF23" s="131"/>
      <c r="BG23" s="131"/>
      <c r="BH23" s="131"/>
      <c r="BI23" s="131"/>
      <c r="BJ23" s="133">
        <f>AN23*BB23/100</f>
        <v>150000</v>
      </c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34"/>
      <c r="CD23" s="34"/>
      <c r="CE23" s="34"/>
      <c r="CF23" s="34"/>
      <c r="CG23" s="34"/>
      <c r="CH23" s="38">
        <f>BJ23</f>
        <v>150000</v>
      </c>
    </row>
    <row r="24" spans="1:86" ht="13.5" customHeight="1">
      <c r="A24" s="134" t="s">
        <v>117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27" t="s">
        <v>44</v>
      </c>
      <c r="BC24" s="127"/>
      <c r="BD24" s="127"/>
      <c r="BE24" s="127"/>
      <c r="BF24" s="127"/>
      <c r="BG24" s="127"/>
      <c r="BH24" s="127"/>
      <c r="BI24" s="127"/>
      <c r="BJ24" s="164">
        <f>BJ23</f>
        <v>150000</v>
      </c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46"/>
      <c r="CD24" s="46"/>
      <c r="CE24" s="46"/>
      <c r="CF24" s="46"/>
      <c r="CG24" s="46"/>
      <c r="CH24" s="46">
        <f>CH23</f>
        <v>150000</v>
      </c>
    </row>
    <row r="25" spans="1:86" ht="12.75" hidden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36"/>
      <c r="CD25" s="36"/>
      <c r="CE25" s="36"/>
      <c r="CF25" s="36"/>
      <c r="CG25" s="36"/>
      <c r="CH25" s="36"/>
    </row>
    <row r="26" spans="1:86" ht="12.75" hidden="1">
      <c r="A26" s="131" t="s">
        <v>117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27" t="s">
        <v>44</v>
      </c>
      <c r="BC26" s="127"/>
      <c r="BD26" s="127"/>
      <c r="BE26" s="127"/>
      <c r="BF26" s="127"/>
      <c r="BG26" s="127"/>
      <c r="BH26" s="127"/>
      <c r="BI26" s="127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36"/>
      <c r="CD26" s="36"/>
      <c r="CE26" s="36"/>
      <c r="CF26" s="36"/>
      <c r="CG26" s="36"/>
      <c r="CH26" s="36"/>
    </row>
    <row r="27" spans="1:86" ht="12.75" hidden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36"/>
      <c r="CD27" s="36"/>
      <c r="CE27" s="36"/>
      <c r="CF27" s="36"/>
      <c r="CG27" s="36"/>
      <c r="CH27" s="36"/>
    </row>
    <row r="28" spans="1:86" ht="12.75" hidden="1">
      <c r="A28" s="131" t="s">
        <v>118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27" t="s">
        <v>44</v>
      </c>
      <c r="BC28" s="127"/>
      <c r="BD28" s="127"/>
      <c r="BE28" s="127"/>
      <c r="BF28" s="127"/>
      <c r="BG28" s="127"/>
      <c r="BH28" s="127"/>
      <c r="BI28" s="127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36"/>
      <c r="CD28" s="36"/>
      <c r="CE28" s="36"/>
      <c r="CF28" s="36"/>
      <c r="CG28" s="36"/>
      <c r="CH28" s="36"/>
    </row>
    <row r="29" spans="1:86" ht="12.75" hidden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36"/>
      <c r="CD29" s="36"/>
      <c r="CE29" s="36"/>
      <c r="CF29" s="36"/>
      <c r="CG29" s="36"/>
      <c r="CH29" s="36"/>
    </row>
    <row r="30" spans="1:86" ht="12.75" hidden="1">
      <c r="A30" s="131" t="s">
        <v>119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27" t="s">
        <v>44</v>
      </c>
      <c r="BC30" s="127"/>
      <c r="BD30" s="127"/>
      <c r="BE30" s="127"/>
      <c r="BF30" s="127"/>
      <c r="BG30" s="127"/>
      <c r="BH30" s="127"/>
      <c r="BI30" s="127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36"/>
      <c r="CD30" s="36"/>
      <c r="CE30" s="36"/>
      <c r="CF30" s="36"/>
      <c r="CG30" s="36"/>
      <c r="CH30" s="36"/>
    </row>
    <row r="31" spans="1:86" ht="12.75" hidden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36"/>
      <c r="CD31" s="36"/>
      <c r="CE31" s="36"/>
      <c r="CF31" s="36"/>
      <c r="CG31" s="36"/>
      <c r="CH31" s="36"/>
    </row>
    <row r="32" spans="1:86" ht="12.75" hidden="1">
      <c r="A32" s="131" t="s">
        <v>120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27" t="s">
        <v>44</v>
      </c>
      <c r="BC32" s="127"/>
      <c r="BD32" s="127"/>
      <c r="BE32" s="127"/>
      <c r="BF32" s="127"/>
      <c r="BG32" s="127"/>
      <c r="BH32" s="127"/>
      <c r="BI32" s="127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36"/>
      <c r="CD32" s="36"/>
      <c r="CE32" s="36"/>
      <c r="CF32" s="36"/>
      <c r="CG32" s="36"/>
      <c r="CH32" s="36"/>
    </row>
    <row r="33" spans="1:86" ht="12.75">
      <c r="A33" s="42"/>
      <c r="B33" s="42"/>
      <c r="C33" s="42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4"/>
      <c r="BC33" s="44"/>
      <c r="BD33" s="44"/>
      <c r="BE33" s="44"/>
      <c r="BF33" s="44"/>
      <c r="BG33" s="44"/>
      <c r="BH33" s="44"/>
      <c r="BI33" s="44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2"/>
      <c r="CD33" s="42"/>
      <c r="CE33" s="42"/>
      <c r="CF33" s="42"/>
      <c r="CG33" s="42"/>
      <c r="CH33" s="42"/>
    </row>
    <row r="34" spans="1:86" ht="15" hidden="1">
      <c r="A34" s="45" t="s">
        <v>121</v>
      </c>
      <c r="B34" s="42"/>
      <c r="C34" s="42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4"/>
      <c r="BC34" s="44"/>
      <c r="BD34" s="44"/>
      <c r="BE34" s="44"/>
      <c r="BF34" s="44"/>
      <c r="BG34" s="44"/>
      <c r="BH34" s="44"/>
      <c r="BI34" s="44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2"/>
      <c r="CD34" s="42"/>
      <c r="CE34" s="42"/>
      <c r="CF34" s="42"/>
      <c r="CG34" s="42"/>
      <c r="CH34" s="42"/>
    </row>
    <row r="35" spans="1:86" ht="12.75" hidden="1">
      <c r="A35" s="42"/>
      <c r="B35" s="42"/>
      <c r="C35" s="42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4"/>
      <c r="BC35" s="44"/>
      <c r="BD35" s="44"/>
      <c r="BE35" s="44"/>
      <c r="BF35" s="44"/>
      <c r="BG35" s="44"/>
      <c r="BH35" s="44"/>
      <c r="BI35" s="44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2"/>
      <c r="CD35" s="42"/>
      <c r="CE35" s="42"/>
      <c r="CF35" s="42"/>
      <c r="CG35" s="42"/>
      <c r="CH35" s="42"/>
    </row>
    <row r="36" spans="1:86" s="32" customFormat="1" ht="32.25" customHeight="1" hidden="1">
      <c r="A36" s="137" t="s">
        <v>122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</row>
    <row r="37" ht="12.75" hidden="1"/>
    <row r="38" spans="1:86" ht="12.75" customHeight="1" hidden="1">
      <c r="A38" s="126" t="s">
        <v>7</v>
      </c>
      <c r="B38" s="126"/>
      <c r="C38" s="126"/>
      <c r="D38" s="126"/>
      <c r="E38" s="129" t="s">
        <v>53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6" t="s">
        <v>123</v>
      </c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 t="s">
        <v>124</v>
      </c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7" t="s">
        <v>12</v>
      </c>
      <c r="CD38" s="127"/>
      <c r="CE38" s="127"/>
      <c r="CF38" s="127"/>
      <c r="CG38" s="127"/>
      <c r="CH38" s="127"/>
    </row>
    <row r="39" spans="1:86" ht="93.75" customHeight="1" hidden="1">
      <c r="A39" s="126"/>
      <c r="B39" s="126"/>
      <c r="C39" s="126"/>
      <c r="D39" s="126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 t="s">
        <v>17</v>
      </c>
      <c r="CD39" s="126"/>
      <c r="CE39" s="126" t="s">
        <v>18</v>
      </c>
      <c r="CF39" s="126"/>
      <c r="CG39" s="126"/>
      <c r="CH39" s="126" t="s">
        <v>19</v>
      </c>
    </row>
    <row r="40" spans="1:86" ht="12.75" customHeight="1" hidden="1">
      <c r="A40" s="126"/>
      <c r="B40" s="126"/>
      <c r="C40" s="126"/>
      <c r="D40" s="126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8" t="s">
        <v>20</v>
      </c>
      <c r="CD40" s="128" t="s">
        <v>21</v>
      </c>
      <c r="CE40" s="128" t="s">
        <v>22</v>
      </c>
      <c r="CF40" s="128" t="s">
        <v>20</v>
      </c>
      <c r="CG40" s="128" t="s">
        <v>21</v>
      </c>
      <c r="CH40" s="126"/>
    </row>
    <row r="41" spans="1:86" ht="12.75" hidden="1">
      <c r="A41" s="126"/>
      <c r="B41" s="126"/>
      <c r="C41" s="126"/>
      <c r="D41" s="126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8"/>
      <c r="CD41" s="128"/>
      <c r="CE41" s="128"/>
      <c r="CF41" s="128"/>
      <c r="CG41" s="128"/>
      <c r="CH41" s="126"/>
    </row>
    <row r="42" spans="1:86" ht="12.75" hidden="1">
      <c r="A42" s="129">
        <v>1</v>
      </c>
      <c r="B42" s="129"/>
      <c r="C42" s="129"/>
      <c r="D42" s="129"/>
      <c r="E42" s="129">
        <v>2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>
        <v>3</v>
      </c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>
        <v>4</v>
      </c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35">
        <v>5</v>
      </c>
      <c r="CD42" s="35">
        <v>6</v>
      </c>
      <c r="CE42" s="35">
        <v>7</v>
      </c>
      <c r="CF42" s="35">
        <v>8</v>
      </c>
      <c r="CG42" s="35">
        <v>9</v>
      </c>
      <c r="CH42" s="35">
        <v>10</v>
      </c>
    </row>
    <row r="43" spans="1:86" ht="12.75" hidden="1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36"/>
      <c r="CD43" s="36"/>
      <c r="CE43" s="36"/>
      <c r="CF43" s="36"/>
      <c r="CG43" s="36"/>
      <c r="CH43" s="36"/>
    </row>
    <row r="44" spans="1:86" ht="12.75" hidden="1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36"/>
      <c r="CD44" s="36"/>
      <c r="CE44" s="36"/>
      <c r="CF44" s="36"/>
      <c r="CG44" s="36"/>
      <c r="CH44" s="36"/>
    </row>
    <row r="45" spans="1:86" ht="12.75" hidden="1">
      <c r="A45" s="130"/>
      <c r="B45" s="130"/>
      <c r="C45" s="130"/>
      <c r="D45" s="130"/>
      <c r="E45" s="131" t="s">
        <v>125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27" t="s">
        <v>44</v>
      </c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36"/>
      <c r="CD45" s="36"/>
      <c r="CE45" s="36"/>
      <c r="CF45" s="36"/>
      <c r="CG45" s="36"/>
      <c r="CH45" s="36"/>
    </row>
    <row r="46" spans="1:86" ht="12.75" hidden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36"/>
      <c r="CD46" s="36"/>
      <c r="CE46" s="36"/>
      <c r="CF46" s="36"/>
      <c r="CG46" s="36"/>
      <c r="CH46" s="36"/>
    </row>
    <row r="47" spans="1:86" ht="12.75" hidden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36"/>
      <c r="CD47" s="36"/>
      <c r="CE47" s="36"/>
      <c r="CF47" s="36"/>
      <c r="CG47" s="36"/>
      <c r="CH47" s="36"/>
    </row>
    <row r="48" spans="1:86" ht="12.75" hidden="1">
      <c r="A48" s="130"/>
      <c r="B48" s="130"/>
      <c r="C48" s="130"/>
      <c r="D48" s="130"/>
      <c r="E48" s="131" t="s">
        <v>126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27" t="s">
        <v>44</v>
      </c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36"/>
      <c r="CD48" s="36"/>
      <c r="CE48" s="36"/>
      <c r="CF48" s="36"/>
      <c r="CG48" s="36"/>
      <c r="CH48" s="36"/>
    </row>
  </sheetData>
  <sheetProtection selectLockedCells="1" selectUnlockedCells="1"/>
  <mergeCells count="140">
    <mergeCell ref="A48:D48"/>
    <mergeCell ref="E48:AM48"/>
    <mergeCell ref="AN48:BM48"/>
    <mergeCell ref="BN48:CB48"/>
    <mergeCell ref="A46:D46"/>
    <mergeCell ref="E46:AM46"/>
    <mergeCell ref="AN46:BM46"/>
    <mergeCell ref="BN46:CB46"/>
    <mergeCell ref="A47:D47"/>
    <mergeCell ref="E47:AM47"/>
    <mergeCell ref="AN47:BM47"/>
    <mergeCell ref="BN47:CB47"/>
    <mergeCell ref="A44:D44"/>
    <mergeCell ref="E44:AM44"/>
    <mergeCell ref="AN44:BM44"/>
    <mergeCell ref="BN44:CB44"/>
    <mergeCell ref="A45:D45"/>
    <mergeCell ref="E45:AM45"/>
    <mergeCell ref="AN45:BM45"/>
    <mergeCell ref="BN45:CB45"/>
    <mergeCell ref="A42:D42"/>
    <mergeCell ref="E42:AM42"/>
    <mergeCell ref="AN42:BM42"/>
    <mergeCell ref="BN42:CB42"/>
    <mergeCell ref="A43:D43"/>
    <mergeCell ref="E43:AM43"/>
    <mergeCell ref="AN43:BM43"/>
    <mergeCell ref="BN43:CB43"/>
    <mergeCell ref="CC39:CD39"/>
    <mergeCell ref="CE39:CG39"/>
    <mergeCell ref="CH39:CH41"/>
    <mergeCell ref="CC40:CC41"/>
    <mergeCell ref="CD40:CD41"/>
    <mergeCell ref="CE40:CE41"/>
    <mergeCell ref="CF40:CF41"/>
    <mergeCell ref="CG40:CG41"/>
    <mergeCell ref="A32:AM32"/>
    <mergeCell ref="AN32:BA32"/>
    <mergeCell ref="BB32:BI32"/>
    <mergeCell ref="BJ32:CB32"/>
    <mergeCell ref="A36:CH36"/>
    <mergeCell ref="A38:D41"/>
    <mergeCell ref="E38:AM41"/>
    <mergeCell ref="AN38:BM41"/>
    <mergeCell ref="BN38:CB41"/>
    <mergeCell ref="CC38:CH38"/>
    <mergeCell ref="A30:AM30"/>
    <mergeCell ref="AN30:BA30"/>
    <mergeCell ref="BB30:BI30"/>
    <mergeCell ref="BJ30:CB30"/>
    <mergeCell ref="A31:D31"/>
    <mergeCell ref="E31:AM31"/>
    <mergeCell ref="AN31:BA31"/>
    <mergeCell ref="BB31:BI31"/>
    <mergeCell ref="BJ31:CB31"/>
    <mergeCell ref="A28:AM28"/>
    <mergeCell ref="AN28:BA28"/>
    <mergeCell ref="BB28:BI28"/>
    <mergeCell ref="BJ28:CB28"/>
    <mergeCell ref="A29:D29"/>
    <mergeCell ref="E29:AM29"/>
    <mergeCell ref="AN29:BA29"/>
    <mergeCell ref="BB29:BI29"/>
    <mergeCell ref="BJ29:CB29"/>
    <mergeCell ref="A26:AM26"/>
    <mergeCell ref="AN26:BA26"/>
    <mergeCell ref="BB26:BI26"/>
    <mergeCell ref="BJ26:CB26"/>
    <mergeCell ref="A27:D27"/>
    <mergeCell ref="E27:AM27"/>
    <mergeCell ref="AN27:BA27"/>
    <mergeCell ref="BB27:BI27"/>
    <mergeCell ref="BJ27:CB27"/>
    <mergeCell ref="A24:AM24"/>
    <mergeCell ref="AN24:BA24"/>
    <mergeCell ref="BB24:BI24"/>
    <mergeCell ref="BJ24:CB24"/>
    <mergeCell ref="A25:D25"/>
    <mergeCell ref="E25:AM25"/>
    <mergeCell ref="AN25:BA25"/>
    <mergeCell ref="BB25:BI25"/>
    <mergeCell ref="BJ25:CB25"/>
    <mergeCell ref="A22:D22"/>
    <mergeCell ref="E22:AM22"/>
    <mergeCell ref="AN22:BA22"/>
    <mergeCell ref="BB22:BI22"/>
    <mergeCell ref="BJ22:CB22"/>
    <mergeCell ref="A23:D23"/>
    <mergeCell ref="E23:AM23"/>
    <mergeCell ref="AN23:BA23"/>
    <mergeCell ref="BB23:BI23"/>
    <mergeCell ref="BJ23:CB23"/>
    <mergeCell ref="CC18:CH18"/>
    <mergeCell ref="CC19:CD19"/>
    <mergeCell ref="CE19:CG19"/>
    <mergeCell ref="CH19:CH21"/>
    <mergeCell ref="CC20:CC21"/>
    <mergeCell ref="CD20:CD21"/>
    <mergeCell ref="CE20:CE21"/>
    <mergeCell ref="CF20:CF21"/>
    <mergeCell ref="CG20:CG21"/>
    <mergeCell ref="A12:AM12"/>
    <mergeCell ref="AN12:BA12"/>
    <mergeCell ref="BB12:BM12"/>
    <mergeCell ref="BN12:CB12"/>
    <mergeCell ref="A18:D21"/>
    <mergeCell ref="E18:AM21"/>
    <mergeCell ref="AN18:BA21"/>
    <mergeCell ref="BB18:BI21"/>
    <mergeCell ref="BJ18:CB21"/>
    <mergeCell ref="A10:D10"/>
    <mergeCell ref="E10:AM10"/>
    <mergeCell ref="AN10:BA10"/>
    <mergeCell ref="BB10:BM10"/>
    <mergeCell ref="BN10:CB10"/>
    <mergeCell ref="A11:D11"/>
    <mergeCell ref="E11:AM11"/>
    <mergeCell ref="AN11:BA11"/>
    <mergeCell ref="BB11:BM11"/>
    <mergeCell ref="BN11:CB11"/>
    <mergeCell ref="CC7:CC8"/>
    <mergeCell ref="CD7:CD8"/>
    <mergeCell ref="CE7:CE8"/>
    <mergeCell ref="CF7:CF8"/>
    <mergeCell ref="CG7:CG8"/>
    <mergeCell ref="A9:D9"/>
    <mergeCell ref="E9:AM9"/>
    <mergeCell ref="AN9:BA9"/>
    <mergeCell ref="BB9:BM9"/>
    <mergeCell ref="BN9:CB9"/>
    <mergeCell ref="A3:CH3"/>
    <mergeCell ref="A5:D8"/>
    <mergeCell ref="E5:AM8"/>
    <mergeCell ref="AN5:BA8"/>
    <mergeCell ref="BB5:BM8"/>
    <mergeCell ref="BN5:CB8"/>
    <mergeCell ref="CC5:CH5"/>
    <mergeCell ref="CC6:CD6"/>
    <mergeCell ref="CE6:CG6"/>
    <mergeCell ref="CH6:CH8"/>
  </mergeCells>
  <printOptions/>
  <pageMargins left="0.7875" right="0.39375" top="0.5902777777777778" bottom="0.39375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CH23"/>
  <sheetViews>
    <sheetView zoomScalePageLayoutView="0" workbookViewId="0" topLeftCell="A1">
      <selection activeCell="A12" sqref="A12"/>
    </sheetView>
  </sheetViews>
  <sheetFormatPr defaultColWidth="1.12109375" defaultRowHeight="12.75"/>
  <cols>
    <col min="1" max="1" width="2.125" style="30" customWidth="1"/>
    <col min="2" max="80" width="1.12109375" style="30" customWidth="1"/>
    <col min="81" max="83" width="9.50390625" style="30" customWidth="1"/>
    <col min="84" max="84" width="9.125" style="30" customWidth="1"/>
    <col min="85" max="85" width="8.50390625" style="30" customWidth="1"/>
    <col min="86" max="86" width="15.125" style="30" customWidth="1"/>
    <col min="87" max="16384" width="1.12109375" style="30" customWidth="1"/>
  </cols>
  <sheetData>
    <row r="1" spans="1:86" ht="36.75" customHeight="1">
      <c r="A1" s="137" t="s">
        <v>127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</row>
    <row r="3" spans="1:86" s="32" customFormat="1" ht="15">
      <c r="A3" s="31" t="s">
        <v>128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</row>
    <row r="4" spans="1:80" s="50" customFormat="1" ht="7.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</row>
    <row r="5" spans="1:86" ht="12.75" customHeight="1">
      <c r="A5" s="126" t="s">
        <v>7</v>
      </c>
      <c r="B5" s="126"/>
      <c r="C5" s="126"/>
      <c r="D5" s="126"/>
      <c r="E5" s="129" t="s">
        <v>53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6" t="s">
        <v>129</v>
      </c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 t="s">
        <v>130</v>
      </c>
      <c r="BE5" s="126"/>
      <c r="BF5" s="126"/>
      <c r="BG5" s="126"/>
      <c r="BH5" s="126"/>
      <c r="BI5" s="126"/>
      <c r="BJ5" s="126"/>
      <c r="BK5" s="126"/>
      <c r="BL5" s="126"/>
      <c r="BM5" s="126"/>
      <c r="BN5" s="126" t="s">
        <v>131</v>
      </c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7" t="s">
        <v>12</v>
      </c>
      <c r="CD5" s="127"/>
      <c r="CE5" s="127"/>
      <c r="CF5" s="127"/>
      <c r="CG5" s="127"/>
      <c r="CH5" s="127"/>
    </row>
    <row r="6" spans="1:86" ht="78.75" customHeight="1">
      <c r="A6" s="126"/>
      <c r="B6" s="126"/>
      <c r="C6" s="126"/>
      <c r="D6" s="126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 t="s">
        <v>17</v>
      </c>
      <c r="CD6" s="126"/>
      <c r="CE6" s="126" t="s">
        <v>18</v>
      </c>
      <c r="CF6" s="126"/>
      <c r="CG6" s="126"/>
      <c r="CH6" s="126" t="s">
        <v>19</v>
      </c>
    </row>
    <row r="7" spans="1:86" ht="12.75" customHeight="1">
      <c r="A7" s="126"/>
      <c r="B7" s="126"/>
      <c r="C7" s="126"/>
      <c r="D7" s="126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8" t="s">
        <v>20</v>
      </c>
      <c r="CD7" s="128" t="s">
        <v>21</v>
      </c>
      <c r="CE7" s="128" t="s">
        <v>22</v>
      </c>
      <c r="CF7" s="128" t="s">
        <v>20</v>
      </c>
      <c r="CG7" s="128" t="s">
        <v>21</v>
      </c>
      <c r="CH7" s="126"/>
    </row>
    <row r="8" spans="1:86" ht="12.75" customHeight="1">
      <c r="A8" s="126"/>
      <c r="B8" s="126"/>
      <c r="C8" s="126"/>
      <c r="D8" s="126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8"/>
      <c r="CD8" s="128"/>
      <c r="CE8" s="128"/>
      <c r="CF8" s="128"/>
      <c r="CG8" s="128"/>
      <c r="CH8" s="126"/>
    </row>
    <row r="9" spans="1:86" ht="12.75">
      <c r="A9" s="129">
        <v>1</v>
      </c>
      <c r="B9" s="129"/>
      <c r="C9" s="129"/>
      <c r="D9" s="129"/>
      <c r="E9" s="129">
        <v>2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>
        <v>3</v>
      </c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>
        <v>4</v>
      </c>
      <c r="BE9" s="129"/>
      <c r="BF9" s="129"/>
      <c r="BG9" s="129"/>
      <c r="BH9" s="129"/>
      <c r="BI9" s="129"/>
      <c r="BJ9" s="129"/>
      <c r="BK9" s="129"/>
      <c r="BL9" s="129"/>
      <c r="BM9" s="129"/>
      <c r="BN9" s="129" t="s">
        <v>69</v>
      </c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34">
        <v>6</v>
      </c>
      <c r="CD9" s="34">
        <v>7</v>
      </c>
      <c r="CE9" s="34">
        <v>8</v>
      </c>
      <c r="CF9" s="34">
        <v>9</v>
      </c>
      <c r="CG9" s="34">
        <v>10</v>
      </c>
      <c r="CH9" s="34">
        <v>11</v>
      </c>
    </row>
    <row r="10" spans="1:86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36"/>
      <c r="CD10" s="36"/>
      <c r="CE10" s="36"/>
      <c r="CF10" s="36"/>
      <c r="CG10" s="36"/>
      <c r="CH10" s="36"/>
    </row>
    <row r="11" spans="1:86" ht="12.7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36"/>
      <c r="CD11" s="36"/>
      <c r="CE11" s="36"/>
      <c r="CF11" s="36"/>
      <c r="CG11" s="36"/>
      <c r="CH11" s="36"/>
    </row>
    <row r="12" spans="1:86" ht="12.75">
      <c r="A12" s="131" t="s">
        <v>132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27" t="s">
        <v>44</v>
      </c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 t="s">
        <v>44</v>
      </c>
      <c r="BE12" s="127"/>
      <c r="BF12" s="127"/>
      <c r="BG12" s="127"/>
      <c r="BH12" s="127"/>
      <c r="BI12" s="127"/>
      <c r="BJ12" s="127"/>
      <c r="BK12" s="127"/>
      <c r="BL12" s="127"/>
      <c r="BM12" s="127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36"/>
      <c r="CD12" s="36"/>
      <c r="CE12" s="36"/>
      <c r="CF12" s="36"/>
      <c r="CG12" s="36"/>
      <c r="CH12" s="36"/>
    </row>
    <row r="13" s="37" customFormat="1" ht="15"/>
    <row r="14" spans="1:86" s="32" customFormat="1" ht="15">
      <c r="A14" s="31" t="s">
        <v>133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</row>
    <row r="15" spans="1:80" s="50" customFormat="1" ht="7.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</row>
    <row r="16" spans="1:86" ht="12.75" customHeight="1">
      <c r="A16" s="126" t="s">
        <v>7</v>
      </c>
      <c r="B16" s="126"/>
      <c r="C16" s="126"/>
      <c r="D16" s="126"/>
      <c r="E16" s="129" t="s">
        <v>53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6" t="s">
        <v>129</v>
      </c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 t="s">
        <v>130</v>
      </c>
      <c r="BE16" s="126"/>
      <c r="BF16" s="126"/>
      <c r="BG16" s="126"/>
      <c r="BH16" s="126"/>
      <c r="BI16" s="126"/>
      <c r="BJ16" s="126"/>
      <c r="BK16" s="126"/>
      <c r="BL16" s="126"/>
      <c r="BM16" s="126"/>
      <c r="BN16" s="126" t="s">
        <v>131</v>
      </c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7" t="s">
        <v>12</v>
      </c>
      <c r="CD16" s="127"/>
      <c r="CE16" s="127"/>
      <c r="CF16" s="127"/>
      <c r="CG16" s="127"/>
      <c r="CH16" s="127"/>
    </row>
    <row r="17" spans="1:86" ht="83.25" customHeight="1">
      <c r="A17" s="126"/>
      <c r="B17" s="126"/>
      <c r="C17" s="126"/>
      <c r="D17" s="126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 t="s">
        <v>17</v>
      </c>
      <c r="CD17" s="126"/>
      <c r="CE17" s="126" t="s">
        <v>18</v>
      </c>
      <c r="CF17" s="126"/>
      <c r="CG17" s="126"/>
      <c r="CH17" s="126" t="s">
        <v>19</v>
      </c>
    </row>
    <row r="18" spans="1:86" ht="12.75" customHeight="1">
      <c r="A18" s="126"/>
      <c r="B18" s="126"/>
      <c r="C18" s="126"/>
      <c r="D18" s="126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8" t="s">
        <v>20</v>
      </c>
      <c r="CD18" s="128" t="s">
        <v>21</v>
      </c>
      <c r="CE18" s="128" t="s">
        <v>22</v>
      </c>
      <c r="CF18" s="128" t="s">
        <v>20</v>
      </c>
      <c r="CG18" s="128" t="s">
        <v>21</v>
      </c>
      <c r="CH18" s="126"/>
    </row>
    <row r="19" spans="1:86" ht="12.75">
      <c r="A19" s="126"/>
      <c r="B19" s="126"/>
      <c r="C19" s="126"/>
      <c r="D19" s="126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8"/>
      <c r="CD19" s="128"/>
      <c r="CE19" s="128"/>
      <c r="CF19" s="128"/>
      <c r="CG19" s="128"/>
      <c r="CH19" s="126"/>
    </row>
    <row r="20" spans="1:86" ht="12.75" customHeight="1">
      <c r="A20" s="129">
        <v>1</v>
      </c>
      <c r="B20" s="129"/>
      <c r="C20" s="129"/>
      <c r="D20" s="129"/>
      <c r="E20" s="129">
        <v>2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>
        <v>3</v>
      </c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>
        <v>4</v>
      </c>
      <c r="BE20" s="129"/>
      <c r="BF20" s="129"/>
      <c r="BG20" s="129"/>
      <c r="BH20" s="129"/>
      <c r="BI20" s="129"/>
      <c r="BJ20" s="129"/>
      <c r="BK20" s="129"/>
      <c r="BL20" s="129"/>
      <c r="BM20" s="129"/>
      <c r="BN20" s="129" t="s">
        <v>69</v>
      </c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34">
        <v>6</v>
      </c>
      <c r="CD20" s="34">
        <v>7</v>
      </c>
      <c r="CE20" s="34">
        <v>8</v>
      </c>
      <c r="CF20" s="34">
        <v>9</v>
      </c>
      <c r="CG20" s="34">
        <v>10</v>
      </c>
      <c r="CH20" s="34">
        <v>11</v>
      </c>
    </row>
    <row r="21" spans="1:86" ht="12.75">
      <c r="A21" s="130"/>
      <c r="B21" s="130"/>
      <c r="C21" s="130"/>
      <c r="D21" s="130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36"/>
      <c r="CD21" s="36"/>
      <c r="CE21" s="36"/>
      <c r="CF21" s="36"/>
      <c r="CG21" s="36"/>
      <c r="CH21" s="36"/>
    </row>
    <row r="22" spans="1:86" ht="12.75">
      <c r="A22" s="130"/>
      <c r="B22" s="130"/>
      <c r="C22" s="130"/>
      <c r="D22" s="130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36"/>
      <c r="CD22" s="36"/>
      <c r="CE22" s="36"/>
      <c r="CF22" s="36"/>
      <c r="CG22" s="36"/>
      <c r="CH22" s="36"/>
    </row>
    <row r="23" spans="1:86" ht="12.75">
      <c r="A23" s="131" t="s">
        <v>60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 t="s">
        <v>44</v>
      </c>
      <c r="BE23" s="127"/>
      <c r="BF23" s="127"/>
      <c r="BG23" s="127"/>
      <c r="BH23" s="127"/>
      <c r="BI23" s="127"/>
      <c r="BJ23" s="127"/>
      <c r="BK23" s="127"/>
      <c r="BL23" s="127"/>
      <c r="BM23" s="127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36"/>
      <c r="CD23" s="36"/>
      <c r="CE23" s="36"/>
      <c r="CF23" s="36"/>
      <c r="CG23" s="36"/>
      <c r="CH23" s="36"/>
    </row>
  </sheetData>
  <sheetProtection selectLockedCells="1" selectUnlockedCells="1"/>
  <mergeCells count="67">
    <mergeCell ref="A22:D22"/>
    <mergeCell ref="E22:AN22"/>
    <mergeCell ref="AO22:BC22"/>
    <mergeCell ref="BD22:BM22"/>
    <mergeCell ref="BN22:CB22"/>
    <mergeCell ref="A23:AN23"/>
    <mergeCell ref="AO23:BC23"/>
    <mergeCell ref="BD23:BM23"/>
    <mergeCell ref="BN23:CB23"/>
    <mergeCell ref="A20:D20"/>
    <mergeCell ref="E20:AN20"/>
    <mergeCell ref="AO20:BC20"/>
    <mergeCell ref="BD20:BM20"/>
    <mergeCell ref="BN20:CB20"/>
    <mergeCell ref="A21:D21"/>
    <mergeCell ref="E21:AN21"/>
    <mergeCell ref="AO21:BC21"/>
    <mergeCell ref="BD21:BM21"/>
    <mergeCell ref="BN21:CB21"/>
    <mergeCell ref="CC16:CH16"/>
    <mergeCell ref="CC17:CD17"/>
    <mergeCell ref="CE17:CG17"/>
    <mergeCell ref="CH17:CH19"/>
    <mergeCell ref="CC18:CC19"/>
    <mergeCell ref="CD18:CD19"/>
    <mergeCell ref="CE18:CE19"/>
    <mergeCell ref="CF18:CF19"/>
    <mergeCell ref="CG18:CG19"/>
    <mergeCell ref="A12:AM12"/>
    <mergeCell ref="AN12:BC12"/>
    <mergeCell ref="BD12:BM12"/>
    <mergeCell ref="BN12:CB12"/>
    <mergeCell ref="A16:D19"/>
    <mergeCell ref="E16:AN19"/>
    <mergeCell ref="AO16:BC19"/>
    <mergeCell ref="BD16:BM19"/>
    <mergeCell ref="BN16:CB19"/>
    <mergeCell ref="A10:D10"/>
    <mergeCell ref="E10:AM10"/>
    <mergeCell ref="AN10:BC10"/>
    <mergeCell ref="BD10:BM10"/>
    <mergeCell ref="BN10:CB10"/>
    <mergeCell ref="A11:D11"/>
    <mergeCell ref="E11:AM11"/>
    <mergeCell ref="AN11:BC11"/>
    <mergeCell ref="BD11:BM11"/>
    <mergeCell ref="BN11:CB11"/>
    <mergeCell ref="CC7:CC8"/>
    <mergeCell ref="CD7:CD8"/>
    <mergeCell ref="CE7:CE8"/>
    <mergeCell ref="CF7:CF8"/>
    <mergeCell ref="CG7:CG8"/>
    <mergeCell ref="A9:D9"/>
    <mergeCell ref="E9:AM9"/>
    <mergeCell ref="AN9:BC9"/>
    <mergeCell ref="BD9:BM9"/>
    <mergeCell ref="BN9:CB9"/>
    <mergeCell ref="A1:CH1"/>
    <mergeCell ref="A5:D8"/>
    <mergeCell ref="E5:AM8"/>
    <mergeCell ref="AN5:BC8"/>
    <mergeCell ref="BD5:BM8"/>
    <mergeCell ref="BN5:CB8"/>
    <mergeCell ref="CC5:CH5"/>
    <mergeCell ref="CC6:CD6"/>
    <mergeCell ref="CE6:CG6"/>
    <mergeCell ref="CH6:CH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W74"/>
  <sheetViews>
    <sheetView tabSelected="1" view="pageBreakPreview" zoomScale="60" zoomScalePageLayoutView="0" workbookViewId="0" topLeftCell="A36">
      <selection activeCell="BP64" sqref="BP64:CB64"/>
    </sheetView>
  </sheetViews>
  <sheetFormatPr defaultColWidth="1.12109375" defaultRowHeight="12.75"/>
  <cols>
    <col min="1" max="18" width="1.12109375" style="12" customWidth="1"/>
    <col min="19" max="19" width="2.125" style="12" customWidth="1"/>
    <col min="20" max="80" width="1.12109375" style="12" customWidth="1"/>
    <col min="81" max="81" width="10.125" style="12" customWidth="1"/>
    <col min="82" max="82" width="11.625" style="12" customWidth="1"/>
    <col min="83" max="83" width="8.50390625" style="12" customWidth="1"/>
    <col min="84" max="84" width="9.875" style="12" customWidth="1"/>
    <col min="85" max="85" width="8.625" style="12" customWidth="1"/>
    <col min="86" max="86" width="15.125" style="12" customWidth="1"/>
    <col min="87" max="98" width="0" style="12" hidden="1" customWidth="1"/>
    <col min="99" max="99" width="3.50390625" style="12" hidden="1" customWidth="1"/>
    <col min="100" max="100" width="1.12109375" style="12" customWidth="1"/>
    <col min="101" max="101" width="15.125" style="12" hidden="1" customWidth="1"/>
    <col min="102" max="16384" width="1.12109375" style="12" customWidth="1"/>
  </cols>
  <sheetData>
    <row r="1" spans="1:80" s="6" customFormat="1" ht="15">
      <c r="A1" s="10" t="s">
        <v>134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</row>
    <row r="2" spans="1:80" s="8" customFormat="1" ht="7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101" s="6" customFormat="1" ht="15">
      <c r="A3" s="10" t="s">
        <v>135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W3" s="10"/>
    </row>
    <row r="5" spans="1:86" s="77" customFormat="1" ht="12.75" customHeight="1">
      <c r="A5" s="165" t="s">
        <v>7</v>
      </c>
      <c r="B5" s="165"/>
      <c r="C5" s="165"/>
      <c r="D5" s="165"/>
      <c r="E5" s="166" t="s">
        <v>53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5" t="s">
        <v>136</v>
      </c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 t="s">
        <v>130</v>
      </c>
      <c r="AV5" s="165"/>
      <c r="AW5" s="165"/>
      <c r="AX5" s="165"/>
      <c r="AY5" s="165"/>
      <c r="AZ5" s="165"/>
      <c r="BA5" s="165"/>
      <c r="BB5" s="165"/>
      <c r="BC5" s="165"/>
      <c r="BD5" s="165"/>
      <c r="BE5" s="165" t="s">
        <v>137</v>
      </c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6" t="s">
        <v>65</v>
      </c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7" t="s">
        <v>12</v>
      </c>
      <c r="CD5" s="167"/>
      <c r="CE5" s="167"/>
      <c r="CF5" s="167"/>
      <c r="CG5" s="167"/>
      <c r="CH5" s="167"/>
    </row>
    <row r="6" spans="1:101" s="77" customFormat="1" ht="78.75" customHeight="1">
      <c r="A6" s="165"/>
      <c r="B6" s="165"/>
      <c r="C6" s="165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5" t="s">
        <v>17</v>
      </c>
      <c r="CD6" s="165"/>
      <c r="CE6" s="165" t="s">
        <v>18</v>
      </c>
      <c r="CF6" s="165"/>
      <c r="CG6" s="165"/>
      <c r="CH6" s="165" t="s">
        <v>19</v>
      </c>
      <c r="CW6" s="165">
        <v>4</v>
      </c>
    </row>
    <row r="7" spans="1:101" s="77" customFormat="1" ht="12.75" customHeight="1">
      <c r="A7" s="165"/>
      <c r="B7" s="165"/>
      <c r="C7" s="165"/>
      <c r="D7" s="165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8" t="s">
        <v>20</v>
      </c>
      <c r="CD7" s="168" t="s">
        <v>21</v>
      </c>
      <c r="CE7" s="168" t="s">
        <v>22</v>
      </c>
      <c r="CF7" s="168" t="s">
        <v>20</v>
      </c>
      <c r="CG7" s="168" t="s">
        <v>21</v>
      </c>
      <c r="CH7" s="165"/>
      <c r="CW7" s="165"/>
    </row>
    <row r="8" spans="1:101" s="77" customFormat="1" ht="12">
      <c r="A8" s="165"/>
      <c r="B8" s="165"/>
      <c r="C8" s="165"/>
      <c r="D8" s="165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8"/>
      <c r="CD8" s="168"/>
      <c r="CE8" s="168"/>
      <c r="CF8" s="168"/>
      <c r="CG8" s="168"/>
      <c r="CH8" s="165"/>
      <c r="CW8" s="165"/>
    </row>
    <row r="9" spans="1:101" s="77" customFormat="1" ht="12">
      <c r="A9" s="166">
        <v>1</v>
      </c>
      <c r="B9" s="166"/>
      <c r="C9" s="166"/>
      <c r="D9" s="166"/>
      <c r="E9" s="166">
        <v>2</v>
      </c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>
        <v>3</v>
      </c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>
        <v>4</v>
      </c>
      <c r="AV9" s="166"/>
      <c r="AW9" s="166"/>
      <c r="AX9" s="166"/>
      <c r="AY9" s="166"/>
      <c r="AZ9" s="166"/>
      <c r="BA9" s="166"/>
      <c r="BB9" s="166"/>
      <c r="BC9" s="166"/>
      <c r="BD9" s="166"/>
      <c r="BE9" s="166">
        <v>5</v>
      </c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 t="s">
        <v>58</v>
      </c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76">
        <v>7</v>
      </c>
      <c r="CD9" s="76">
        <v>8</v>
      </c>
      <c r="CE9" s="76">
        <v>9</v>
      </c>
      <c r="CF9" s="76">
        <v>10</v>
      </c>
      <c r="CG9" s="76">
        <v>11</v>
      </c>
      <c r="CH9" s="76">
        <v>12</v>
      </c>
      <c r="CW9" s="76">
        <v>12</v>
      </c>
    </row>
    <row r="10" spans="1:101" s="77" customFormat="1" ht="31.5" customHeight="1">
      <c r="A10" s="167">
        <v>1</v>
      </c>
      <c r="B10" s="167"/>
      <c r="C10" s="167"/>
      <c r="D10" s="167"/>
      <c r="E10" s="169" t="s">
        <v>138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70">
        <v>8</v>
      </c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>
        <v>12</v>
      </c>
      <c r="AV10" s="170"/>
      <c r="AW10" s="170"/>
      <c r="AX10" s="170"/>
      <c r="AY10" s="170"/>
      <c r="AZ10" s="170"/>
      <c r="BA10" s="170"/>
      <c r="BB10" s="170"/>
      <c r="BC10" s="170"/>
      <c r="BD10" s="170"/>
      <c r="BE10" s="171">
        <f>BP10/AU10/AJ10</f>
        <v>209.08510416666664</v>
      </c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2">
        <f>CD10+CH10</f>
        <v>20072.17</v>
      </c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82"/>
      <c r="CD10" s="80">
        <f>11440.17+8632</f>
        <v>20072.17</v>
      </c>
      <c r="CE10" s="82"/>
      <c r="CF10" s="82"/>
      <c r="CG10" s="82"/>
      <c r="CH10" s="76"/>
      <c r="CW10" s="76"/>
    </row>
    <row r="11" spans="1:101" s="77" customFormat="1" ht="21" customHeight="1">
      <c r="A11" s="167">
        <v>2</v>
      </c>
      <c r="B11" s="167"/>
      <c r="C11" s="167"/>
      <c r="D11" s="167"/>
      <c r="E11" s="169" t="s">
        <v>139</v>
      </c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70">
        <v>1</v>
      </c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>
        <v>12</v>
      </c>
      <c r="AV11" s="170"/>
      <c r="AW11" s="170"/>
      <c r="AX11" s="170"/>
      <c r="AY11" s="170"/>
      <c r="AZ11" s="170"/>
      <c r="BA11" s="170"/>
      <c r="BB11" s="170"/>
      <c r="BC11" s="170"/>
      <c r="BD11" s="170"/>
      <c r="BE11" s="171">
        <f>BP11/AU11</f>
        <v>3600</v>
      </c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2">
        <f>CD11</f>
        <v>43200</v>
      </c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82"/>
      <c r="CD11" s="80">
        <v>43200</v>
      </c>
      <c r="CE11" s="82"/>
      <c r="CF11" s="82"/>
      <c r="CG11" s="82"/>
      <c r="CH11" s="82"/>
      <c r="CW11" s="82"/>
    </row>
    <row r="12" spans="1:101" s="77" customFormat="1" ht="31.5" customHeight="1">
      <c r="A12" s="167">
        <v>1</v>
      </c>
      <c r="B12" s="167"/>
      <c r="C12" s="167"/>
      <c r="D12" s="167"/>
      <c r="E12" s="169" t="s">
        <v>268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70">
        <v>1</v>
      </c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>
        <v>1</v>
      </c>
      <c r="AV12" s="170"/>
      <c r="AW12" s="170"/>
      <c r="AX12" s="170"/>
      <c r="AY12" s="170"/>
      <c r="AZ12" s="170"/>
      <c r="BA12" s="170"/>
      <c r="BB12" s="170"/>
      <c r="BC12" s="170"/>
      <c r="BD12" s="170"/>
      <c r="BE12" s="171">
        <v>3600</v>
      </c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2">
        <v>3600</v>
      </c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82"/>
      <c r="CD12" s="80">
        <v>3600</v>
      </c>
      <c r="CE12" s="82"/>
      <c r="CF12" s="82"/>
      <c r="CG12" s="82"/>
      <c r="CH12" s="76"/>
      <c r="CW12" s="76">
        <v>3600</v>
      </c>
    </row>
    <row r="13" spans="1:101" s="77" customFormat="1" ht="21" customHeight="1">
      <c r="A13" s="167">
        <v>2</v>
      </c>
      <c r="B13" s="167"/>
      <c r="C13" s="167"/>
      <c r="D13" s="167"/>
      <c r="E13" s="169" t="s">
        <v>269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70">
        <v>1</v>
      </c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>
        <v>1</v>
      </c>
      <c r="AV13" s="170"/>
      <c r="AW13" s="170"/>
      <c r="AX13" s="170"/>
      <c r="AY13" s="170"/>
      <c r="AZ13" s="170"/>
      <c r="BA13" s="170"/>
      <c r="BB13" s="170"/>
      <c r="BC13" s="170"/>
      <c r="BD13" s="170"/>
      <c r="BE13" s="171">
        <v>3600</v>
      </c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2">
        <v>3600</v>
      </c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82"/>
      <c r="CD13" s="80">
        <v>3600</v>
      </c>
      <c r="CE13" s="82"/>
      <c r="CF13" s="82"/>
      <c r="CG13" s="82"/>
      <c r="CH13" s="82"/>
      <c r="CW13" s="76">
        <v>3600</v>
      </c>
    </row>
    <row r="14" spans="1:101" s="77" customFormat="1" ht="12">
      <c r="A14" s="173" t="s">
        <v>140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5"/>
      <c r="AJ14" s="176" t="s">
        <v>44</v>
      </c>
      <c r="AK14" s="177"/>
      <c r="AL14" s="177"/>
      <c r="AM14" s="177"/>
      <c r="AN14" s="177"/>
      <c r="AO14" s="177"/>
      <c r="AP14" s="177"/>
      <c r="AQ14" s="177"/>
      <c r="AR14" s="177"/>
      <c r="AS14" s="177"/>
      <c r="AT14" s="178"/>
      <c r="AU14" s="176" t="s">
        <v>44</v>
      </c>
      <c r="AV14" s="177"/>
      <c r="AW14" s="177"/>
      <c r="AX14" s="177"/>
      <c r="AY14" s="177"/>
      <c r="AZ14" s="177"/>
      <c r="BA14" s="177"/>
      <c r="BB14" s="177"/>
      <c r="BC14" s="177"/>
      <c r="BD14" s="178"/>
      <c r="BE14" s="176" t="s">
        <v>44</v>
      </c>
      <c r="BF14" s="177"/>
      <c r="BG14" s="177"/>
      <c r="BH14" s="177"/>
      <c r="BI14" s="177"/>
      <c r="BJ14" s="177"/>
      <c r="BK14" s="177"/>
      <c r="BL14" s="177"/>
      <c r="BM14" s="177"/>
      <c r="BN14" s="177"/>
      <c r="BO14" s="178"/>
      <c r="BP14" s="179">
        <f>SUM(BP10:CB13)</f>
        <v>70472.17</v>
      </c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1"/>
      <c r="CC14" s="81"/>
      <c r="CD14" s="81">
        <f>SUM(CD10:CD13)</f>
        <v>70472.17</v>
      </c>
      <c r="CE14" s="78"/>
      <c r="CF14" s="78"/>
      <c r="CG14" s="78"/>
      <c r="CH14" s="81"/>
      <c r="CW14" s="81">
        <f>SUM(CW12:CW13)</f>
        <v>7200</v>
      </c>
    </row>
    <row r="15" spans="1:101" ht="12.7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3"/>
      <c r="CD15" s="53"/>
      <c r="CE15" s="53"/>
      <c r="CF15" s="53"/>
      <c r="CG15" s="53"/>
      <c r="CH15" s="53"/>
      <c r="CW15" s="53"/>
    </row>
    <row r="16" spans="1:101" ht="12.75" hidden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3"/>
      <c r="CD16" s="53"/>
      <c r="CE16" s="53"/>
      <c r="CF16" s="53"/>
      <c r="CG16" s="53"/>
      <c r="CH16" s="53"/>
      <c r="CW16" s="53"/>
    </row>
    <row r="17" spans="1:101" ht="12.75" hidden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3"/>
      <c r="CD17" s="53"/>
      <c r="CE17" s="53"/>
      <c r="CF17" s="53"/>
      <c r="CG17" s="53"/>
      <c r="CH17" s="53"/>
      <c r="CW17" s="53"/>
    </row>
    <row r="18" s="1" customFormat="1" ht="18.75" customHeight="1"/>
    <row r="19" spans="1:80" s="6" customFormat="1" ht="15">
      <c r="A19" s="10" t="s">
        <v>141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1" spans="1:86" s="77" customFormat="1" ht="12.75" customHeight="1">
      <c r="A21" s="165" t="s">
        <v>7</v>
      </c>
      <c r="B21" s="165"/>
      <c r="C21" s="165"/>
      <c r="D21" s="165"/>
      <c r="E21" s="166" t="s">
        <v>53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5" t="s">
        <v>142</v>
      </c>
      <c r="AO21" s="165"/>
      <c r="AP21" s="165"/>
      <c r="AQ21" s="165"/>
      <c r="AR21" s="165"/>
      <c r="AS21" s="165"/>
      <c r="AT21" s="165"/>
      <c r="AU21" s="165"/>
      <c r="AV21" s="165"/>
      <c r="AW21" s="165" t="s">
        <v>143</v>
      </c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6" t="s">
        <v>65</v>
      </c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7" t="s">
        <v>12</v>
      </c>
      <c r="CD21" s="167"/>
      <c r="CE21" s="167"/>
      <c r="CF21" s="167"/>
      <c r="CG21" s="167"/>
      <c r="CH21" s="167"/>
    </row>
    <row r="22" spans="1:101" s="77" customFormat="1" ht="80.25" customHeight="1">
      <c r="A22" s="165"/>
      <c r="B22" s="165"/>
      <c r="C22" s="165"/>
      <c r="D22" s="165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5" t="s">
        <v>17</v>
      </c>
      <c r="CD22" s="165"/>
      <c r="CE22" s="165" t="s">
        <v>18</v>
      </c>
      <c r="CF22" s="165"/>
      <c r="CG22" s="165"/>
      <c r="CH22" s="165" t="s">
        <v>19</v>
      </c>
      <c r="CW22" s="165" t="s">
        <v>19</v>
      </c>
    </row>
    <row r="23" spans="1:101" s="77" customFormat="1" ht="12.75" customHeight="1">
      <c r="A23" s="165"/>
      <c r="B23" s="165"/>
      <c r="C23" s="165"/>
      <c r="D23" s="165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8" t="s">
        <v>20</v>
      </c>
      <c r="CD23" s="168" t="s">
        <v>21</v>
      </c>
      <c r="CE23" s="168" t="s">
        <v>22</v>
      </c>
      <c r="CF23" s="168" t="s">
        <v>20</v>
      </c>
      <c r="CG23" s="168" t="s">
        <v>21</v>
      </c>
      <c r="CH23" s="165"/>
      <c r="CW23" s="165"/>
    </row>
    <row r="24" spans="1:101" s="77" customFormat="1" ht="12">
      <c r="A24" s="165"/>
      <c r="B24" s="165"/>
      <c r="C24" s="165"/>
      <c r="D24" s="165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8"/>
      <c r="CD24" s="168"/>
      <c r="CE24" s="168"/>
      <c r="CF24" s="168"/>
      <c r="CG24" s="168"/>
      <c r="CH24" s="165"/>
      <c r="CW24" s="165"/>
    </row>
    <row r="25" spans="1:101" s="77" customFormat="1" ht="12">
      <c r="A25" s="166">
        <v>1</v>
      </c>
      <c r="B25" s="166"/>
      <c r="C25" s="166"/>
      <c r="D25" s="166"/>
      <c r="E25" s="166">
        <v>2</v>
      </c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>
        <v>3</v>
      </c>
      <c r="AO25" s="166"/>
      <c r="AP25" s="166"/>
      <c r="AQ25" s="166"/>
      <c r="AR25" s="166"/>
      <c r="AS25" s="166"/>
      <c r="AT25" s="166"/>
      <c r="AU25" s="166"/>
      <c r="AV25" s="166"/>
      <c r="AW25" s="166">
        <v>4</v>
      </c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 t="s">
        <v>69</v>
      </c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76">
        <v>6</v>
      </c>
      <c r="CD25" s="76">
        <v>7</v>
      </c>
      <c r="CE25" s="76">
        <v>8</v>
      </c>
      <c r="CF25" s="76">
        <v>9</v>
      </c>
      <c r="CG25" s="76">
        <v>10</v>
      </c>
      <c r="CH25" s="76">
        <v>11</v>
      </c>
      <c r="CW25" s="76">
        <v>11</v>
      </c>
    </row>
    <row r="26" spans="1:101" s="77" customFormat="1" ht="51.75" customHeight="1">
      <c r="A26" s="167">
        <v>1</v>
      </c>
      <c r="B26" s="167"/>
      <c r="C26" s="167"/>
      <c r="D26" s="167"/>
      <c r="E26" s="169" t="s">
        <v>144</v>
      </c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7">
        <v>1</v>
      </c>
      <c r="AO26" s="167"/>
      <c r="AP26" s="167"/>
      <c r="AQ26" s="167"/>
      <c r="AR26" s="167"/>
      <c r="AS26" s="167"/>
      <c r="AT26" s="167"/>
      <c r="AU26" s="167"/>
      <c r="AV26" s="167"/>
      <c r="AW26" s="172">
        <v>2400</v>
      </c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>
        <f aca="true" t="shared" si="0" ref="BJ26:BJ32">AW26</f>
        <v>2400</v>
      </c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76"/>
      <c r="CD26" s="80">
        <f aca="true" t="shared" si="1" ref="CD26:CD37">BJ26</f>
        <v>2400</v>
      </c>
      <c r="CE26" s="76"/>
      <c r="CF26" s="76"/>
      <c r="CG26" s="76"/>
      <c r="CH26" s="76"/>
      <c r="CW26" s="76"/>
    </row>
    <row r="27" spans="1:101" s="77" customFormat="1" ht="51.75" customHeight="1">
      <c r="A27" s="167">
        <f aca="true" t="shared" si="2" ref="A27:A37">A26+1</f>
        <v>2</v>
      </c>
      <c r="B27" s="167"/>
      <c r="C27" s="167"/>
      <c r="D27" s="167"/>
      <c r="E27" s="169" t="s">
        <v>145</v>
      </c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7">
        <v>1</v>
      </c>
      <c r="AO27" s="167"/>
      <c r="AP27" s="167"/>
      <c r="AQ27" s="167"/>
      <c r="AR27" s="167"/>
      <c r="AS27" s="167"/>
      <c r="AT27" s="167"/>
      <c r="AU27" s="167"/>
      <c r="AV27" s="167"/>
      <c r="AW27" s="172">
        <v>2400</v>
      </c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>
        <f t="shared" si="0"/>
        <v>2400</v>
      </c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76"/>
      <c r="CD27" s="80">
        <f t="shared" si="1"/>
        <v>2400</v>
      </c>
      <c r="CE27" s="76"/>
      <c r="CF27" s="76"/>
      <c r="CG27" s="76"/>
      <c r="CH27" s="76"/>
      <c r="CW27" s="76"/>
    </row>
    <row r="28" spans="1:101" s="77" customFormat="1" ht="55.5" customHeight="1">
      <c r="A28" s="167">
        <f t="shared" si="2"/>
        <v>3</v>
      </c>
      <c r="B28" s="167"/>
      <c r="C28" s="167"/>
      <c r="D28" s="167"/>
      <c r="E28" s="169" t="s">
        <v>146</v>
      </c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7">
        <v>1</v>
      </c>
      <c r="AO28" s="167"/>
      <c r="AP28" s="167"/>
      <c r="AQ28" s="167"/>
      <c r="AR28" s="167"/>
      <c r="AS28" s="167"/>
      <c r="AT28" s="167"/>
      <c r="AU28" s="167"/>
      <c r="AV28" s="167"/>
      <c r="AW28" s="172">
        <f>2400+6600</f>
        <v>9000</v>
      </c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>
        <f t="shared" si="0"/>
        <v>9000</v>
      </c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76"/>
      <c r="CD28" s="80">
        <f t="shared" si="1"/>
        <v>9000</v>
      </c>
      <c r="CE28" s="76"/>
      <c r="CF28" s="76"/>
      <c r="CG28" s="76"/>
      <c r="CH28" s="76"/>
      <c r="CW28" s="76"/>
    </row>
    <row r="29" spans="1:101" s="77" customFormat="1" ht="55.5" customHeight="1">
      <c r="A29" s="167">
        <f t="shared" si="2"/>
        <v>4</v>
      </c>
      <c r="B29" s="167"/>
      <c r="C29" s="167"/>
      <c r="D29" s="167"/>
      <c r="E29" s="169" t="s">
        <v>147</v>
      </c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7">
        <v>1</v>
      </c>
      <c r="AO29" s="167"/>
      <c r="AP29" s="167"/>
      <c r="AQ29" s="167"/>
      <c r="AR29" s="167"/>
      <c r="AS29" s="167"/>
      <c r="AT29" s="167"/>
      <c r="AU29" s="167"/>
      <c r="AV29" s="167"/>
      <c r="AW29" s="172">
        <v>2400</v>
      </c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>
        <f t="shared" si="0"/>
        <v>2400</v>
      </c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76"/>
      <c r="CD29" s="80">
        <f t="shared" si="1"/>
        <v>2400</v>
      </c>
      <c r="CE29" s="76"/>
      <c r="CF29" s="76"/>
      <c r="CG29" s="76"/>
      <c r="CH29" s="76"/>
      <c r="CW29" s="76"/>
    </row>
    <row r="30" spans="1:101" s="77" customFormat="1" ht="60" customHeight="1">
      <c r="A30" s="167">
        <f t="shared" si="2"/>
        <v>5</v>
      </c>
      <c r="B30" s="167"/>
      <c r="C30" s="167"/>
      <c r="D30" s="167"/>
      <c r="E30" s="169" t="s">
        <v>148</v>
      </c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7">
        <v>1</v>
      </c>
      <c r="AO30" s="167"/>
      <c r="AP30" s="167"/>
      <c r="AQ30" s="167"/>
      <c r="AR30" s="167"/>
      <c r="AS30" s="167"/>
      <c r="AT30" s="167"/>
      <c r="AU30" s="167"/>
      <c r="AV30" s="167"/>
      <c r="AW30" s="172">
        <v>2400</v>
      </c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>
        <f t="shared" si="0"/>
        <v>2400</v>
      </c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76"/>
      <c r="CD30" s="80">
        <f t="shared" si="1"/>
        <v>2400</v>
      </c>
      <c r="CE30" s="76"/>
      <c r="CF30" s="76"/>
      <c r="CG30" s="76"/>
      <c r="CH30" s="76"/>
      <c r="CW30" s="76"/>
    </row>
    <row r="31" spans="1:101" s="77" customFormat="1" ht="72" customHeight="1">
      <c r="A31" s="167">
        <f t="shared" si="2"/>
        <v>6</v>
      </c>
      <c r="B31" s="167"/>
      <c r="C31" s="167"/>
      <c r="D31" s="167"/>
      <c r="E31" s="169" t="s">
        <v>149</v>
      </c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7">
        <v>1</v>
      </c>
      <c r="AO31" s="167"/>
      <c r="AP31" s="167"/>
      <c r="AQ31" s="167"/>
      <c r="AR31" s="167"/>
      <c r="AS31" s="167"/>
      <c r="AT31" s="167"/>
      <c r="AU31" s="167"/>
      <c r="AV31" s="167"/>
      <c r="AW31" s="172">
        <v>2400</v>
      </c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>
        <f t="shared" si="0"/>
        <v>2400</v>
      </c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76"/>
      <c r="CD31" s="80">
        <f t="shared" si="1"/>
        <v>2400</v>
      </c>
      <c r="CE31" s="76"/>
      <c r="CF31" s="76"/>
      <c r="CG31" s="76"/>
      <c r="CH31" s="76"/>
      <c r="CW31" s="76"/>
    </row>
    <row r="32" spans="1:101" s="77" customFormat="1" ht="60" customHeight="1">
      <c r="A32" s="167">
        <f t="shared" si="2"/>
        <v>7</v>
      </c>
      <c r="B32" s="167"/>
      <c r="C32" s="167"/>
      <c r="D32" s="167"/>
      <c r="E32" s="169" t="s">
        <v>150</v>
      </c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7">
        <v>1</v>
      </c>
      <c r="AO32" s="167"/>
      <c r="AP32" s="167"/>
      <c r="AQ32" s="167"/>
      <c r="AR32" s="167"/>
      <c r="AS32" s="167"/>
      <c r="AT32" s="167"/>
      <c r="AU32" s="167"/>
      <c r="AV32" s="167"/>
      <c r="AW32" s="172">
        <v>2400</v>
      </c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>
        <f t="shared" si="0"/>
        <v>2400</v>
      </c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76"/>
      <c r="CD32" s="80">
        <f t="shared" si="1"/>
        <v>2400</v>
      </c>
      <c r="CE32" s="76"/>
      <c r="CF32" s="76"/>
      <c r="CG32" s="76"/>
      <c r="CH32" s="76"/>
      <c r="CW32" s="76"/>
    </row>
    <row r="33" spans="1:101" s="77" customFormat="1" ht="40.5" customHeight="1">
      <c r="A33" s="167">
        <f t="shared" si="2"/>
        <v>8</v>
      </c>
      <c r="B33" s="167"/>
      <c r="C33" s="167"/>
      <c r="D33" s="167"/>
      <c r="E33" s="169" t="s">
        <v>151</v>
      </c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7">
        <v>1</v>
      </c>
      <c r="AO33" s="167"/>
      <c r="AP33" s="167"/>
      <c r="AQ33" s="167"/>
      <c r="AR33" s="167"/>
      <c r="AS33" s="167"/>
      <c r="AT33" s="167"/>
      <c r="AU33" s="167"/>
      <c r="AV33" s="167"/>
      <c r="AW33" s="172">
        <v>2400</v>
      </c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>
        <v>2400</v>
      </c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76"/>
      <c r="CD33" s="80">
        <f t="shared" si="1"/>
        <v>2400</v>
      </c>
      <c r="CE33" s="76"/>
      <c r="CF33" s="76"/>
      <c r="CG33" s="76"/>
      <c r="CH33" s="76"/>
      <c r="CW33" s="76"/>
    </row>
    <row r="34" spans="1:101" s="77" customFormat="1" ht="40.5" customHeight="1">
      <c r="A34" s="167">
        <f t="shared" si="2"/>
        <v>9</v>
      </c>
      <c r="B34" s="167"/>
      <c r="C34" s="167"/>
      <c r="D34" s="167"/>
      <c r="E34" s="169" t="s">
        <v>152</v>
      </c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7">
        <v>1</v>
      </c>
      <c r="AO34" s="167"/>
      <c r="AP34" s="167"/>
      <c r="AQ34" s="167"/>
      <c r="AR34" s="167"/>
      <c r="AS34" s="167"/>
      <c r="AT34" s="167"/>
      <c r="AU34" s="167"/>
      <c r="AV34" s="167"/>
      <c r="AW34" s="172">
        <v>6200</v>
      </c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>
        <v>6200</v>
      </c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76"/>
      <c r="CD34" s="80">
        <f t="shared" si="1"/>
        <v>6200</v>
      </c>
      <c r="CE34" s="76"/>
      <c r="CF34" s="76"/>
      <c r="CG34" s="76"/>
      <c r="CH34" s="76"/>
      <c r="CW34" s="76"/>
    </row>
    <row r="35" spans="1:101" s="77" customFormat="1" ht="48" customHeight="1">
      <c r="A35" s="167">
        <f t="shared" si="2"/>
        <v>10</v>
      </c>
      <c r="B35" s="167"/>
      <c r="C35" s="167"/>
      <c r="D35" s="167"/>
      <c r="E35" s="169" t="s">
        <v>153</v>
      </c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7">
        <v>1</v>
      </c>
      <c r="AO35" s="167"/>
      <c r="AP35" s="167"/>
      <c r="AQ35" s="167"/>
      <c r="AR35" s="167"/>
      <c r="AS35" s="167"/>
      <c r="AT35" s="167"/>
      <c r="AU35" s="167"/>
      <c r="AV35" s="167"/>
      <c r="AW35" s="172">
        <f>BJ35</f>
        <v>3000</v>
      </c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>
        <f>CD35</f>
        <v>3000</v>
      </c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76"/>
      <c r="CD35" s="80">
        <v>3000</v>
      </c>
      <c r="CE35" s="76"/>
      <c r="CF35" s="76"/>
      <c r="CG35" s="76"/>
      <c r="CH35" s="76"/>
      <c r="CW35" s="76"/>
    </row>
    <row r="36" spans="1:101" s="77" customFormat="1" ht="24.75" customHeight="1">
      <c r="A36" s="167">
        <f t="shared" si="2"/>
        <v>11</v>
      </c>
      <c r="B36" s="167"/>
      <c r="C36" s="167"/>
      <c r="D36" s="167"/>
      <c r="E36" s="169" t="s">
        <v>154</v>
      </c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7">
        <v>1</v>
      </c>
      <c r="AO36" s="167"/>
      <c r="AP36" s="167"/>
      <c r="AQ36" s="167"/>
      <c r="AR36" s="167"/>
      <c r="AS36" s="167"/>
      <c r="AT36" s="167"/>
      <c r="AU36" s="167"/>
      <c r="AV36" s="167"/>
      <c r="AW36" s="172">
        <v>3000</v>
      </c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>
        <v>3000</v>
      </c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76"/>
      <c r="CD36" s="80">
        <f t="shared" si="1"/>
        <v>3000</v>
      </c>
      <c r="CE36" s="76"/>
      <c r="CF36" s="76"/>
      <c r="CG36" s="76"/>
      <c r="CH36" s="76"/>
      <c r="CW36" s="76"/>
    </row>
    <row r="37" spans="1:101" s="77" customFormat="1" ht="48" customHeight="1">
      <c r="A37" s="167">
        <f t="shared" si="2"/>
        <v>12</v>
      </c>
      <c r="B37" s="167"/>
      <c r="C37" s="167"/>
      <c r="D37" s="167"/>
      <c r="E37" s="169" t="s">
        <v>155</v>
      </c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7">
        <v>1</v>
      </c>
      <c r="AO37" s="167"/>
      <c r="AP37" s="167"/>
      <c r="AQ37" s="167"/>
      <c r="AR37" s="167"/>
      <c r="AS37" s="167"/>
      <c r="AT37" s="167"/>
      <c r="AU37" s="167"/>
      <c r="AV37" s="167"/>
      <c r="AW37" s="172">
        <v>6800</v>
      </c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>
        <v>6800</v>
      </c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76"/>
      <c r="CD37" s="80">
        <f t="shared" si="1"/>
        <v>6800</v>
      </c>
      <c r="CE37" s="76"/>
      <c r="CF37" s="76"/>
      <c r="CG37" s="76"/>
      <c r="CH37" s="76"/>
      <c r="CW37" s="76"/>
    </row>
    <row r="38" spans="1:101" s="77" customFormat="1" ht="12">
      <c r="A38" s="182" t="s">
        <v>156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70"/>
      <c r="AO38" s="170"/>
      <c r="AP38" s="170"/>
      <c r="AQ38" s="170"/>
      <c r="AR38" s="170"/>
      <c r="AS38" s="170"/>
      <c r="AT38" s="170"/>
      <c r="AU38" s="170"/>
      <c r="AV38" s="170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83">
        <f>SUM(BJ26:CB37)</f>
        <v>44800</v>
      </c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81"/>
      <c r="CD38" s="81">
        <f>SUM(CD26:CD37)</f>
        <v>44800</v>
      </c>
      <c r="CE38" s="78"/>
      <c r="CF38" s="78"/>
      <c r="CG38" s="78"/>
      <c r="CH38" s="81"/>
      <c r="CW38" s="81"/>
    </row>
    <row r="39" spans="2:80" s="6" customFormat="1" ht="9" customHeight="1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</row>
    <row r="40" spans="2:80" s="6" customFormat="1" ht="15" hidden="1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2:80" s="6" customFormat="1" ht="15" hidden="1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2:80" s="6" customFormat="1" ht="15" hidden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</row>
    <row r="43" spans="2:80" s="6" customFormat="1" ht="15" hidden="1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</row>
    <row r="44" spans="2:80" s="6" customFormat="1" ht="15" hidden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</row>
    <row r="45" spans="2:80" s="6" customFormat="1" ht="15" hidden="1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2:80" s="6" customFormat="1" ht="9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s="6" customFormat="1" ht="98.25" customHeight="1">
      <c r="A47" s="10" t="s">
        <v>157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9" spans="1:99" s="77" customFormat="1" ht="12.75" customHeight="1">
      <c r="A49" s="165" t="s">
        <v>7</v>
      </c>
      <c r="B49" s="165"/>
      <c r="C49" s="165"/>
      <c r="D49" s="165"/>
      <c r="E49" s="166" t="s">
        <v>158</v>
      </c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5" t="s">
        <v>159</v>
      </c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 t="s">
        <v>160</v>
      </c>
      <c r="AV49" s="165"/>
      <c r="AW49" s="165"/>
      <c r="AX49" s="165"/>
      <c r="AY49" s="165"/>
      <c r="AZ49" s="165"/>
      <c r="BA49" s="165"/>
      <c r="BB49" s="165"/>
      <c r="BC49" s="165"/>
      <c r="BD49" s="165"/>
      <c r="BE49" s="166" t="s">
        <v>161</v>
      </c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 t="s">
        <v>65</v>
      </c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7" t="s">
        <v>12</v>
      </c>
      <c r="CD49" s="167"/>
      <c r="CE49" s="167"/>
      <c r="CF49" s="167"/>
      <c r="CG49" s="167"/>
      <c r="CH49" s="167"/>
      <c r="CI49" s="189" t="s">
        <v>245</v>
      </c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</row>
    <row r="50" spans="1:101" s="77" customFormat="1" ht="79.5" customHeight="1">
      <c r="A50" s="165"/>
      <c r="B50" s="165"/>
      <c r="C50" s="165"/>
      <c r="D50" s="165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5" t="s">
        <v>17</v>
      </c>
      <c r="CD50" s="165"/>
      <c r="CE50" s="165" t="s">
        <v>18</v>
      </c>
      <c r="CF50" s="165"/>
      <c r="CG50" s="165"/>
      <c r="CH50" s="165" t="s">
        <v>19</v>
      </c>
      <c r="CI50" s="191" t="s">
        <v>244</v>
      </c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W50" s="165" t="s">
        <v>19</v>
      </c>
    </row>
    <row r="51" spans="1:101" s="77" customFormat="1" ht="12.75" customHeight="1">
      <c r="A51" s="165"/>
      <c r="B51" s="165"/>
      <c r="C51" s="165"/>
      <c r="D51" s="165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8" t="s">
        <v>20</v>
      </c>
      <c r="CD51" s="168" t="s">
        <v>21</v>
      </c>
      <c r="CE51" s="168" t="s">
        <v>22</v>
      </c>
      <c r="CF51" s="168" t="s">
        <v>20</v>
      </c>
      <c r="CG51" s="168" t="s">
        <v>21</v>
      </c>
      <c r="CH51" s="165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W51" s="165"/>
    </row>
    <row r="52" spans="1:101" s="77" customFormat="1" ht="12">
      <c r="A52" s="165"/>
      <c r="B52" s="165"/>
      <c r="C52" s="165"/>
      <c r="D52" s="165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8"/>
      <c r="CD52" s="168"/>
      <c r="CE52" s="168"/>
      <c r="CF52" s="168"/>
      <c r="CG52" s="168"/>
      <c r="CH52" s="165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W52" s="165"/>
    </row>
    <row r="53" spans="1:101" s="77" customFormat="1" ht="12">
      <c r="A53" s="166">
        <v>1</v>
      </c>
      <c r="B53" s="166"/>
      <c r="C53" s="166"/>
      <c r="D53" s="166"/>
      <c r="E53" s="166">
        <v>2</v>
      </c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>
        <v>3</v>
      </c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>
        <v>4</v>
      </c>
      <c r="AV53" s="166"/>
      <c r="AW53" s="166"/>
      <c r="AX53" s="166"/>
      <c r="AY53" s="166"/>
      <c r="AZ53" s="166"/>
      <c r="BA53" s="166"/>
      <c r="BB53" s="166"/>
      <c r="BC53" s="166"/>
      <c r="BD53" s="166"/>
      <c r="BE53" s="166">
        <v>5</v>
      </c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 t="s">
        <v>162</v>
      </c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76">
        <v>7</v>
      </c>
      <c r="CD53" s="76">
        <v>8</v>
      </c>
      <c r="CE53" s="76">
        <v>9</v>
      </c>
      <c r="CF53" s="76">
        <v>10</v>
      </c>
      <c r="CG53" s="76">
        <v>11</v>
      </c>
      <c r="CH53" s="76">
        <v>12</v>
      </c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W53" s="76">
        <v>12</v>
      </c>
    </row>
    <row r="54" spans="1:101" s="77" customFormat="1" ht="33.75" customHeight="1">
      <c r="A54" s="167">
        <v>1</v>
      </c>
      <c r="B54" s="167"/>
      <c r="C54" s="167"/>
      <c r="D54" s="167"/>
      <c r="E54" s="169" t="s">
        <v>163</v>
      </c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84">
        <f>11757+5844</f>
        <v>17601</v>
      </c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5">
        <v>9.24</v>
      </c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6">
        <f>AJ54*AU54+0.28</f>
        <v>162633.52</v>
      </c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79"/>
      <c r="CD54" s="78">
        <f>BP54</f>
        <v>162633.52</v>
      </c>
      <c r="CE54" s="78"/>
      <c r="CF54" s="78"/>
      <c r="CG54" s="78"/>
      <c r="CH54" s="78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W54" s="78">
        <f>162633.52-108633.52</f>
        <v>53999.999999999985</v>
      </c>
    </row>
    <row r="55" spans="1:101" s="77" customFormat="1" ht="38.25" customHeight="1">
      <c r="A55" s="167">
        <f aca="true" t="shared" si="3" ref="A55:A63">A54+1</f>
        <v>2</v>
      </c>
      <c r="B55" s="167"/>
      <c r="C55" s="167"/>
      <c r="D55" s="167"/>
      <c r="E55" s="169" t="s">
        <v>164</v>
      </c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87">
        <v>22.376</v>
      </c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5">
        <v>1266.64</v>
      </c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6">
        <f>AJ55*AU55-0.18</f>
        <v>28342.156640000005</v>
      </c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78"/>
      <c r="CD55" s="78">
        <f>BP55</f>
        <v>28342.156640000005</v>
      </c>
      <c r="CE55" s="78"/>
      <c r="CF55" s="78"/>
      <c r="CG55" s="78"/>
      <c r="CH55" s="78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W55" s="78"/>
    </row>
    <row r="56" spans="1:101" s="77" customFormat="1" ht="36" customHeight="1">
      <c r="A56" s="167">
        <f t="shared" si="3"/>
        <v>3</v>
      </c>
      <c r="B56" s="167"/>
      <c r="C56" s="167"/>
      <c r="D56" s="167"/>
      <c r="E56" s="169" t="s">
        <v>164</v>
      </c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87">
        <v>13.467</v>
      </c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5">
        <v>1424.75</v>
      </c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6">
        <f>AJ56*AU56-0.71</f>
        <v>19186.398250000002</v>
      </c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78"/>
      <c r="CD56" s="78">
        <f aca="true" t="shared" si="4" ref="CD56:CD62">BP56</f>
        <v>19186.398250000002</v>
      </c>
      <c r="CE56" s="78"/>
      <c r="CF56" s="78"/>
      <c r="CG56" s="78"/>
      <c r="CH56" s="78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W56" s="78"/>
    </row>
    <row r="57" spans="1:101" s="77" customFormat="1" ht="45" customHeight="1">
      <c r="A57" s="167">
        <f t="shared" si="3"/>
        <v>4</v>
      </c>
      <c r="B57" s="167"/>
      <c r="C57" s="167"/>
      <c r="D57" s="167"/>
      <c r="E57" s="169" t="s">
        <v>253</v>
      </c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70">
        <v>33.81</v>
      </c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>
        <v>1266.64</v>
      </c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2">
        <f>AJ57*AU57</f>
        <v>42825.09840000001</v>
      </c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76"/>
      <c r="CD57" s="80">
        <f>BP57</f>
        <v>42825.09840000001</v>
      </c>
      <c r="CE57" s="76"/>
      <c r="CF57" s="76"/>
      <c r="CG57" s="76"/>
      <c r="CH57" s="80"/>
      <c r="CI57" s="195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W57" s="80"/>
    </row>
    <row r="58" spans="1:101" s="77" customFormat="1" ht="36" customHeight="1">
      <c r="A58" s="167">
        <f t="shared" si="3"/>
        <v>5</v>
      </c>
      <c r="B58" s="167"/>
      <c r="C58" s="167"/>
      <c r="D58" s="167"/>
      <c r="E58" s="169" t="s">
        <v>254</v>
      </c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70">
        <v>6.741</v>
      </c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>
        <v>1424.75</v>
      </c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2">
        <f>AJ58*AU58-0.07</f>
        <v>9604.16975</v>
      </c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76"/>
      <c r="CD58" s="80">
        <f>BP58</f>
        <v>9604.16975</v>
      </c>
      <c r="CE58" s="76"/>
      <c r="CF58" s="76"/>
      <c r="CG58" s="76"/>
      <c r="CH58" s="76"/>
      <c r="CI58" s="195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W58" s="76"/>
    </row>
    <row r="59" spans="1:101" s="77" customFormat="1" ht="28.5" customHeight="1">
      <c r="A59" s="167">
        <f t="shared" si="3"/>
        <v>6</v>
      </c>
      <c r="B59" s="167"/>
      <c r="C59" s="167"/>
      <c r="D59" s="167"/>
      <c r="E59" s="169" t="s">
        <v>165</v>
      </c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85">
        <v>3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>
        <v>49.51</v>
      </c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6">
        <f>AJ59*AU59</f>
        <v>148.53</v>
      </c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78"/>
      <c r="CD59" s="78">
        <f t="shared" si="4"/>
        <v>148.53</v>
      </c>
      <c r="CE59" s="79"/>
      <c r="CF59" s="79"/>
      <c r="CG59" s="79"/>
      <c r="CH59" s="79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W59" s="79"/>
    </row>
    <row r="60" spans="1:101" s="77" customFormat="1" ht="25.5" customHeight="1">
      <c r="A60" s="167">
        <f t="shared" si="3"/>
        <v>7</v>
      </c>
      <c r="B60" s="167"/>
      <c r="C60" s="167"/>
      <c r="D60" s="167"/>
      <c r="E60" s="169" t="s">
        <v>166</v>
      </c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87">
        <v>5.564</v>
      </c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5">
        <v>50.12</v>
      </c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6">
        <f>AJ60*AU60</f>
        <v>278.86768</v>
      </c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78"/>
      <c r="CD60" s="78">
        <f t="shared" si="4"/>
        <v>278.86768</v>
      </c>
      <c r="CE60" s="79"/>
      <c r="CF60" s="79"/>
      <c r="CG60" s="79"/>
      <c r="CH60" s="79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W60" s="79"/>
    </row>
    <row r="61" spans="1:101" s="77" customFormat="1" ht="29.25" customHeight="1">
      <c r="A61" s="167">
        <f t="shared" si="3"/>
        <v>8</v>
      </c>
      <c r="B61" s="167"/>
      <c r="C61" s="167"/>
      <c r="D61" s="167"/>
      <c r="E61" s="169" t="s">
        <v>167</v>
      </c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87">
        <v>0.18</v>
      </c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5">
        <v>1266.64</v>
      </c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6">
        <f>AJ61*AU61-0.01</f>
        <v>227.98520000000002</v>
      </c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78"/>
      <c r="CD61" s="78">
        <f t="shared" si="4"/>
        <v>227.98520000000002</v>
      </c>
      <c r="CE61" s="79"/>
      <c r="CF61" s="79"/>
      <c r="CG61" s="79"/>
      <c r="CH61" s="79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W61" s="79"/>
    </row>
    <row r="62" spans="1:101" s="77" customFormat="1" ht="23.25" customHeight="1">
      <c r="A62" s="167">
        <f t="shared" si="3"/>
        <v>9</v>
      </c>
      <c r="B62" s="167"/>
      <c r="C62" s="167"/>
      <c r="D62" s="167"/>
      <c r="E62" s="169" t="s">
        <v>168</v>
      </c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87">
        <v>0.282</v>
      </c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5">
        <v>1424.75</v>
      </c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6">
        <f>AJ62*AU62</f>
        <v>401.7795</v>
      </c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6"/>
      <c r="CB62" s="186"/>
      <c r="CC62" s="78"/>
      <c r="CD62" s="78">
        <f t="shared" si="4"/>
        <v>401.7795</v>
      </c>
      <c r="CE62" s="79"/>
      <c r="CF62" s="79"/>
      <c r="CG62" s="79"/>
      <c r="CH62" s="79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W62" s="79"/>
    </row>
    <row r="63" spans="1:101" s="77" customFormat="1" ht="39.75" customHeight="1">
      <c r="A63" s="167">
        <f t="shared" si="3"/>
        <v>10</v>
      </c>
      <c r="B63" s="167"/>
      <c r="C63" s="167"/>
      <c r="D63" s="167"/>
      <c r="E63" s="169" t="s">
        <v>169</v>
      </c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85">
        <v>2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>
        <f>BP63/AJ63</f>
        <v>671.39</v>
      </c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6">
        <v>1342.78</v>
      </c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78"/>
      <c r="CD63" s="78">
        <f>BP63</f>
        <v>1342.78</v>
      </c>
      <c r="CE63" s="79"/>
      <c r="CF63" s="79"/>
      <c r="CG63" s="79"/>
      <c r="CH63" s="79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W63" s="79"/>
    </row>
    <row r="64" spans="1:101" s="77" customFormat="1" ht="21.75" customHeight="1">
      <c r="A64" s="155" t="s">
        <v>170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6" t="s">
        <v>44</v>
      </c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 t="s">
        <v>44</v>
      </c>
      <c r="AV64" s="156"/>
      <c r="AW64" s="156"/>
      <c r="AX64" s="156"/>
      <c r="AY64" s="156"/>
      <c r="AZ64" s="156"/>
      <c r="BA64" s="156"/>
      <c r="BB64" s="156"/>
      <c r="BC64" s="156"/>
      <c r="BD64" s="156"/>
      <c r="BE64" s="156" t="s">
        <v>44</v>
      </c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7">
        <f>SUM(BP54:CB63)+0.01</f>
        <v>264991.2954200001</v>
      </c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72"/>
      <c r="CD64" s="72">
        <f>SUM(CD54:CD63)+0.01</f>
        <v>264991.2954200001</v>
      </c>
      <c r="CE64" s="72"/>
      <c r="CF64" s="72"/>
      <c r="CG64" s="72"/>
      <c r="CH64" s="72"/>
      <c r="CI64" s="197" t="e">
        <f>SUM(#REF!)</f>
        <v>#REF!</v>
      </c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W64" s="114">
        <f>SUM(CW54:CW63)</f>
        <v>53999.999999999985</v>
      </c>
    </row>
    <row r="65" s="1" customFormat="1" ht="15"/>
    <row r="66" spans="1:80" s="6" customFormat="1" ht="15" hidden="1">
      <c r="A66" s="10" t="s">
        <v>171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</row>
    <row r="67" ht="12.75" hidden="1"/>
    <row r="68" spans="1:86" ht="12.75" customHeight="1" hidden="1">
      <c r="A68" s="118" t="s">
        <v>7</v>
      </c>
      <c r="B68" s="118"/>
      <c r="C68" s="118"/>
      <c r="D68" s="118"/>
      <c r="E68" s="188" t="s">
        <v>158</v>
      </c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 t="s">
        <v>172</v>
      </c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18" t="s">
        <v>173</v>
      </c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 t="s">
        <v>174</v>
      </c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20" t="s">
        <v>12</v>
      </c>
      <c r="CD68" s="120"/>
      <c r="CE68" s="120"/>
      <c r="CF68" s="120"/>
      <c r="CG68" s="120"/>
      <c r="CH68" s="120"/>
    </row>
    <row r="69" spans="1:101" ht="80.25" customHeight="1" hidden="1">
      <c r="A69" s="118"/>
      <c r="B69" s="118"/>
      <c r="C69" s="118"/>
      <c r="D69" s="11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 t="s">
        <v>17</v>
      </c>
      <c r="CD69" s="118"/>
      <c r="CE69" s="118" t="s">
        <v>18</v>
      </c>
      <c r="CF69" s="118"/>
      <c r="CG69" s="118"/>
      <c r="CH69" s="118" t="s">
        <v>19</v>
      </c>
      <c r="CW69" s="118" t="s">
        <v>19</v>
      </c>
    </row>
    <row r="70" spans="1:101" ht="12.75" customHeight="1" hidden="1">
      <c r="A70" s="118"/>
      <c r="B70" s="118"/>
      <c r="C70" s="118"/>
      <c r="D70" s="11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24" t="s">
        <v>20</v>
      </c>
      <c r="CD70" s="124" t="s">
        <v>21</v>
      </c>
      <c r="CE70" s="124" t="s">
        <v>22</v>
      </c>
      <c r="CF70" s="124" t="s">
        <v>20</v>
      </c>
      <c r="CG70" s="124" t="s">
        <v>21</v>
      </c>
      <c r="CH70" s="118"/>
      <c r="CW70" s="118"/>
    </row>
    <row r="71" spans="1:101" ht="12.75" hidden="1">
      <c r="A71" s="118"/>
      <c r="B71" s="118"/>
      <c r="C71" s="118"/>
      <c r="D71" s="11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24"/>
      <c r="CD71" s="124"/>
      <c r="CE71" s="124"/>
      <c r="CF71" s="124"/>
      <c r="CG71" s="124"/>
      <c r="CH71" s="118"/>
      <c r="CW71" s="118"/>
    </row>
    <row r="72" spans="1:101" ht="12.75" hidden="1">
      <c r="A72" s="188">
        <v>1</v>
      </c>
      <c r="B72" s="188"/>
      <c r="C72" s="188"/>
      <c r="D72" s="188"/>
      <c r="E72" s="188">
        <v>2</v>
      </c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>
        <v>3</v>
      </c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>
        <v>4</v>
      </c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 t="s">
        <v>69</v>
      </c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4">
        <v>6</v>
      </c>
      <c r="CD72" s="14">
        <v>7</v>
      </c>
      <c r="CE72" s="14">
        <v>8</v>
      </c>
      <c r="CF72" s="14">
        <v>9</v>
      </c>
      <c r="CG72" s="14">
        <v>10</v>
      </c>
      <c r="CH72" s="14">
        <v>11</v>
      </c>
      <c r="CW72" s="14">
        <v>11</v>
      </c>
    </row>
    <row r="73" spans="1:101" ht="12.75" hidden="1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9"/>
      <c r="CD73" s="19"/>
      <c r="CE73" s="19"/>
      <c r="CF73" s="19"/>
      <c r="CG73" s="19"/>
      <c r="CH73" s="19"/>
      <c r="CW73" s="19"/>
    </row>
    <row r="74" spans="1:101" ht="12.75" hidden="1">
      <c r="A74" s="122" t="s">
        <v>175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0" t="s">
        <v>44</v>
      </c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 t="s">
        <v>44</v>
      </c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 t="s">
        <v>44</v>
      </c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9"/>
      <c r="CD74" s="19"/>
      <c r="CE74" s="19"/>
      <c r="CF74" s="19"/>
      <c r="CG74" s="19"/>
      <c r="CH74" s="19"/>
      <c r="CW74" s="19"/>
    </row>
  </sheetData>
  <sheetProtection selectLockedCells="1" selectUnlockedCells="1"/>
  <mergeCells count="264">
    <mergeCell ref="CW6:CW8"/>
    <mergeCell ref="CW22:CW24"/>
    <mergeCell ref="CW50:CW52"/>
    <mergeCell ref="CW69:CW71"/>
    <mergeCell ref="BE13:BO13"/>
    <mergeCell ref="BP13:CB13"/>
    <mergeCell ref="BP58:CB58"/>
    <mergeCell ref="CI58:CU58"/>
    <mergeCell ref="CI63:CU63"/>
    <mergeCell ref="CI64:CU64"/>
    <mergeCell ref="AJ12:AT12"/>
    <mergeCell ref="AU12:BD12"/>
    <mergeCell ref="BE12:BO12"/>
    <mergeCell ref="BP12:CB12"/>
    <mergeCell ref="A12:D12"/>
    <mergeCell ref="E12:AI12"/>
    <mergeCell ref="A13:D13"/>
    <mergeCell ref="E13:AI13"/>
    <mergeCell ref="AJ13:AT13"/>
    <mergeCell ref="AU13:BD13"/>
    <mergeCell ref="CI57:CU57"/>
    <mergeCell ref="A58:D58"/>
    <mergeCell ref="E58:AI58"/>
    <mergeCell ref="AJ58:AT58"/>
    <mergeCell ref="AU58:BD58"/>
    <mergeCell ref="BE58:BO58"/>
    <mergeCell ref="A57:D57"/>
    <mergeCell ref="E57:AI57"/>
    <mergeCell ref="AJ57:AT57"/>
    <mergeCell ref="AU57:BD57"/>
    <mergeCell ref="BE57:BO57"/>
    <mergeCell ref="BP57:CB57"/>
    <mergeCell ref="CI59:CU59"/>
    <mergeCell ref="CI60:CU60"/>
    <mergeCell ref="CI61:CU61"/>
    <mergeCell ref="CI62:CU62"/>
    <mergeCell ref="CI55:CU55"/>
    <mergeCell ref="CI56:CU56"/>
    <mergeCell ref="A74:AQ74"/>
    <mergeCell ref="AR74:BC74"/>
    <mergeCell ref="BD74:BN74"/>
    <mergeCell ref="BO74:CB74"/>
    <mergeCell ref="A73:D73"/>
    <mergeCell ref="E73:AQ73"/>
    <mergeCell ref="AR73:BC73"/>
    <mergeCell ref="BD73:BN73"/>
    <mergeCell ref="BO73:CB73"/>
    <mergeCell ref="CI49:CU49"/>
    <mergeCell ref="CI50:CU53"/>
    <mergeCell ref="CI54:CU54"/>
    <mergeCell ref="A72:D72"/>
    <mergeCell ref="E72:AQ72"/>
    <mergeCell ref="AR72:BC72"/>
    <mergeCell ref="BD72:BN72"/>
    <mergeCell ref="BO72:CB72"/>
    <mergeCell ref="A64:AI64"/>
    <mergeCell ref="CC68:CH68"/>
    <mergeCell ref="CC69:CD69"/>
    <mergeCell ref="CE69:CG69"/>
    <mergeCell ref="CH69:CH71"/>
    <mergeCell ref="CC70:CC71"/>
    <mergeCell ref="CD70:CD71"/>
    <mergeCell ref="CE70:CE71"/>
    <mergeCell ref="CF70:CF71"/>
    <mergeCell ref="CG70:CG71"/>
    <mergeCell ref="AU64:BD64"/>
    <mergeCell ref="BE64:BO64"/>
    <mergeCell ref="BP64:CB64"/>
    <mergeCell ref="A68:D71"/>
    <mergeCell ref="E68:AQ71"/>
    <mergeCell ref="AR68:BC71"/>
    <mergeCell ref="BD68:BN71"/>
    <mergeCell ref="BO68:CB71"/>
    <mergeCell ref="AJ64:AT64"/>
    <mergeCell ref="A63:D63"/>
    <mergeCell ref="E63:AI63"/>
    <mergeCell ref="AJ63:AT63"/>
    <mergeCell ref="AU63:BD63"/>
    <mergeCell ref="BE63:BO63"/>
    <mergeCell ref="BP63:CB63"/>
    <mergeCell ref="A62:D62"/>
    <mergeCell ref="E62:AI62"/>
    <mergeCell ref="AJ62:AT62"/>
    <mergeCell ref="AU62:BD62"/>
    <mergeCell ref="BE62:BO62"/>
    <mergeCell ref="BP62:CB62"/>
    <mergeCell ref="A61:D61"/>
    <mergeCell ref="E61:AI61"/>
    <mergeCell ref="AJ61:AT61"/>
    <mergeCell ref="AU61:BD61"/>
    <mergeCell ref="BE61:BO61"/>
    <mergeCell ref="BP61:CB61"/>
    <mergeCell ref="A60:D60"/>
    <mergeCell ref="E60:AI60"/>
    <mergeCell ref="AJ60:AT60"/>
    <mergeCell ref="AU60:BD60"/>
    <mergeCell ref="BE60:BO60"/>
    <mergeCell ref="BP60:CB60"/>
    <mergeCell ref="A59:D59"/>
    <mergeCell ref="E59:AI59"/>
    <mergeCell ref="AJ59:AT59"/>
    <mergeCell ref="AU59:BD59"/>
    <mergeCell ref="BE59:BO59"/>
    <mergeCell ref="BP59:CB59"/>
    <mergeCell ref="A56:D56"/>
    <mergeCell ref="E56:AI56"/>
    <mergeCell ref="AJ56:AT56"/>
    <mergeCell ref="AU56:BD56"/>
    <mergeCell ref="BE56:BO56"/>
    <mergeCell ref="BP56:CB56"/>
    <mergeCell ref="A55:D55"/>
    <mergeCell ref="E55:AI55"/>
    <mergeCell ref="AJ55:AT55"/>
    <mergeCell ref="AU55:BD55"/>
    <mergeCell ref="BE55:BO55"/>
    <mergeCell ref="BP55:CB55"/>
    <mergeCell ref="A54:D54"/>
    <mergeCell ref="E54:AI54"/>
    <mergeCell ref="AJ54:AT54"/>
    <mergeCell ref="AU54:BD54"/>
    <mergeCell ref="BE54:BO54"/>
    <mergeCell ref="BP54:CB54"/>
    <mergeCell ref="A53:D53"/>
    <mergeCell ref="E53:AI53"/>
    <mergeCell ref="AJ53:AT53"/>
    <mergeCell ref="AU53:BD53"/>
    <mergeCell ref="BE53:BO53"/>
    <mergeCell ref="BP53:CB53"/>
    <mergeCell ref="CC49:CH49"/>
    <mergeCell ref="CC50:CD50"/>
    <mergeCell ref="CE50:CG50"/>
    <mergeCell ref="CH50:CH52"/>
    <mergeCell ref="CC51:CC52"/>
    <mergeCell ref="CD51:CD52"/>
    <mergeCell ref="CE51:CE52"/>
    <mergeCell ref="CF51:CF52"/>
    <mergeCell ref="CG51:CG52"/>
    <mergeCell ref="A38:AM38"/>
    <mergeCell ref="AN38:AV38"/>
    <mergeCell ref="AW38:BI38"/>
    <mergeCell ref="BJ38:CB38"/>
    <mergeCell ref="A49:D52"/>
    <mergeCell ref="E49:AI52"/>
    <mergeCell ref="AJ49:AT52"/>
    <mergeCell ref="AU49:BD52"/>
    <mergeCell ref="BE49:BO52"/>
    <mergeCell ref="BP49:CB52"/>
    <mergeCell ref="A36:D36"/>
    <mergeCell ref="E36:AM36"/>
    <mergeCell ref="AN36:AV36"/>
    <mergeCell ref="AW36:BI36"/>
    <mergeCell ref="BJ36:CB36"/>
    <mergeCell ref="A37:D37"/>
    <mergeCell ref="E37:AM37"/>
    <mergeCell ref="AN37:AV37"/>
    <mergeCell ref="AW37:BI37"/>
    <mergeCell ref="BJ37:CB37"/>
    <mergeCell ref="A34:D34"/>
    <mergeCell ref="E34:AM34"/>
    <mergeCell ref="AN34:AV34"/>
    <mergeCell ref="AW34:BI34"/>
    <mergeCell ref="BJ34:CB34"/>
    <mergeCell ref="A35:D35"/>
    <mergeCell ref="E35:AM35"/>
    <mergeCell ref="AN35:AV35"/>
    <mergeCell ref="AW35:BI35"/>
    <mergeCell ref="BJ35:CB35"/>
    <mergeCell ref="A32:D32"/>
    <mergeCell ref="E32:AM32"/>
    <mergeCell ref="AN32:AV32"/>
    <mergeCell ref="AW32:BI32"/>
    <mergeCell ref="BJ32:CB32"/>
    <mergeCell ref="A33:D33"/>
    <mergeCell ref="E33:AM33"/>
    <mergeCell ref="AN33:AV33"/>
    <mergeCell ref="AW33:BI33"/>
    <mergeCell ref="BJ33:CB33"/>
    <mergeCell ref="A30:D30"/>
    <mergeCell ref="E30:AM30"/>
    <mergeCell ref="AN30:AV30"/>
    <mergeCell ref="AW30:BI30"/>
    <mergeCell ref="BJ30:CB30"/>
    <mergeCell ref="A31:D31"/>
    <mergeCell ref="E31:AM31"/>
    <mergeCell ref="AN31:AV31"/>
    <mergeCell ref="AW31:BI31"/>
    <mergeCell ref="BJ31:CB31"/>
    <mergeCell ref="A28:D28"/>
    <mergeCell ref="A29:D29"/>
    <mergeCell ref="E28:AM28"/>
    <mergeCell ref="AN28:AV28"/>
    <mergeCell ref="AW28:BI28"/>
    <mergeCell ref="BJ28:CB28"/>
    <mergeCell ref="E29:AM29"/>
    <mergeCell ref="AN29:AV29"/>
    <mergeCell ref="AW29:BI29"/>
    <mergeCell ref="BJ29:CB29"/>
    <mergeCell ref="A27:D27"/>
    <mergeCell ref="E27:AM27"/>
    <mergeCell ref="AN27:AV27"/>
    <mergeCell ref="AW27:BI27"/>
    <mergeCell ref="BJ27:CB27"/>
    <mergeCell ref="A25:D25"/>
    <mergeCell ref="E25:AM25"/>
    <mergeCell ref="AN25:AV25"/>
    <mergeCell ref="AW25:BI25"/>
    <mergeCell ref="BJ25:CB25"/>
    <mergeCell ref="A26:D26"/>
    <mergeCell ref="E26:AM26"/>
    <mergeCell ref="AN26:AV26"/>
    <mergeCell ref="AW26:BI26"/>
    <mergeCell ref="BJ26:CB26"/>
    <mergeCell ref="CC21:CH21"/>
    <mergeCell ref="CC22:CD22"/>
    <mergeCell ref="CE22:CG22"/>
    <mergeCell ref="CH22:CH24"/>
    <mergeCell ref="CC23:CC24"/>
    <mergeCell ref="CD23:CD24"/>
    <mergeCell ref="CE23:CE24"/>
    <mergeCell ref="CF23:CF24"/>
    <mergeCell ref="CG23:CG24"/>
    <mergeCell ref="A14:AI14"/>
    <mergeCell ref="AJ14:AT14"/>
    <mergeCell ref="AU14:BD14"/>
    <mergeCell ref="BE14:BO14"/>
    <mergeCell ref="BP14:CB14"/>
    <mergeCell ref="A21:D24"/>
    <mergeCell ref="E21:AM24"/>
    <mergeCell ref="AN21:AV24"/>
    <mergeCell ref="AW21:BI24"/>
    <mergeCell ref="BJ21:CB24"/>
    <mergeCell ref="A11:D11"/>
    <mergeCell ref="E11:AI11"/>
    <mergeCell ref="AJ11:AT11"/>
    <mergeCell ref="AU11:BD11"/>
    <mergeCell ref="BE11:BO11"/>
    <mergeCell ref="BP11:CB11"/>
    <mergeCell ref="A10:D10"/>
    <mergeCell ref="E10:AI10"/>
    <mergeCell ref="AJ10:AT10"/>
    <mergeCell ref="AU10:BD10"/>
    <mergeCell ref="BE10:BO10"/>
    <mergeCell ref="BP10:CB10"/>
    <mergeCell ref="A9:D9"/>
    <mergeCell ref="E9:AI9"/>
    <mergeCell ref="AJ9:AT9"/>
    <mergeCell ref="AU9:BD9"/>
    <mergeCell ref="BE9:BO9"/>
    <mergeCell ref="BP9:CB9"/>
    <mergeCell ref="CC5:CH5"/>
    <mergeCell ref="CC6:CD6"/>
    <mergeCell ref="CE6:CG6"/>
    <mergeCell ref="CH6:CH8"/>
    <mergeCell ref="CC7:CC8"/>
    <mergeCell ref="CD7:CD8"/>
    <mergeCell ref="CE7:CE8"/>
    <mergeCell ref="CF7:CF8"/>
    <mergeCell ref="CG7:CG8"/>
    <mergeCell ref="A5:D8"/>
    <mergeCell ref="E5:AI8"/>
    <mergeCell ref="AJ5:AT8"/>
    <mergeCell ref="AU5:BD8"/>
    <mergeCell ref="BE5:BO8"/>
    <mergeCell ref="BP5:CB8"/>
  </mergeCells>
  <printOptions/>
  <pageMargins left="0.7874015748031497" right="0.3937007874015748" top="0.5905511811023623" bottom="0.3937007874015748" header="0.5118110236220472" footer="0.5118110236220472"/>
  <pageSetup fitToHeight="3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CW117"/>
  <sheetViews>
    <sheetView workbookViewId="0" topLeftCell="A1">
      <selection activeCell="CW1" sqref="CW1:CW16384"/>
    </sheetView>
  </sheetViews>
  <sheetFormatPr defaultColWidth="1.12109375" defaultRowHeight="12.75"/>
  <cols>
    <col min="1" max="39" width="1.12109375" style="12" customWidth="1"/>
    <col min="40" max="40" width="1.12109375" style="12" hidden="1" customWidth="1"/>
    <col min="41" max="43" width="1.12109375" style="12" customWidth="1"/>
    <col min="44" max="44" width="3.875" style="12" customWidth="1"/>
    <col min="45" max="80" width="1.12109375" style="12" customWidth="1"/>
    <col min="81" max="81" width="8.50390625" style="12" customWidth="1"/>
    <col min="82" max="83" width="12.625" style="12" customWidth="1"/>
    <col min="84" max="85" width="11.50390625" style="12" customWidth="1"/>
    <col min="86" max="86" width="15.125" style="12" customWidth="1"/>
    <col min="87" max="99" width="0" style="12" hidden="1" customWidth="1"/>
    <col min="100" max="100" width="1.12109375" style="12" customWidth="1"/>
    <col min="101" max="101" width="15.125" style="12" hidden="1" customWidth="1"/>
    <col min="102" max="16384" width="1.12109375" style="12" customWidth="1"/>
  </cols>
  <sheetData>
    <row r="1" spans="1:101" s="6" customFormat="1" ht="15">
      <c r="A1" s="10" t="s">
        <v>176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W1" s="10"/>
    </row>
    <row r="2" spans="1:80" s="8" customFormat="1" ht="7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99" s="77" customFormat="1" ht="12.75" customHeight="1">
      <c r="A3" s="165" t="s">
        <v>7</v>
      </c>
      <c r="B3" s="165"/>
      <c r="C3" s="165"/>
      <c r="D3" s="165"/>
      <c r="E3" s="166" t="s">
        <v>53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5" t="s">
        <v>129</v>
      </c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 t="s">
        <v>130</v>
      </c>
      <c r="BE3" s="165"/>
      <c r="BF3" s="165"/>
      <c r="BG3" s="165"/>
      <c r="BH3" s="165"/>
      <c r="BI3" s="165"/>
      <c r="BJ3" s="165"/>
      <c r="BK3" s="165"/>
      <c r="BL3" s="165"/>
      <c r="BM3" s="165"/>
      <c r="BN3" s="165" t="s">
        <v>131</v>
      </c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7" t="s">
        <v>12</v>
      </c>
      <c r="CD3" s="167"/>
      <c r="CE3" s="167"/>
      <c r="CF3" s="167"/>
      <c r="CG3" s="167"/>
      <c r="CH3" s="167"/>
      <c r="CI3" s="189" t="s">
        <v>245</v>
      </c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</row>
    <row r="4" spans="1:101" s="77" customFormat="1" ht="78.75" customHeight="1">
      <c r="A4" s="165"/>
      <c r="B4" s="165"/>
      <c r="C4" s="165"/>
      <c r="D4" s="165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 t="s">
        <v>17</v>
      </c>
      <c r="CD4" s="165"/>
      <c r="CE4" s="165" t="s">
        <v>18</v>
      </c>
      <c r="CF4" s="165"/>
      <c r="CG4" s="165"/>
      <c r="CH4" s="165" t="s">
        <v>19</v>
      </c>
      <c r="CI4" s="191" t="s">
        <v>244</v>
      </c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W4" s="165">
        <v>4</v>
      </c>
    </row>
    <row r="5" spans="1:101" s="77" customFormat="1" ht="12.75" customHeight="1">
      <c r="A5" s="165"/>
      <c r="B5" s="165"/>
      <c r="C5" s="165"/>
      <c r="D5" s="165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8" t="s">
        <v>20</v>
      </c>
      <c r="CD5" s="168" t="s">
        <v>21</v>
      </c>
      <c r="CE5" s="168" t="s">
        <v>22</v>
      </c>
      <c r="CF5" s="168" t="s">
        <v>20</v>
      </c>
      <c r="CG5" s="168" t="s">
        <v>21</v>
      </c>
      <c r="CH5" s="165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W5" s="165"/>
    </row>
    <row r="6" spans="1:101" s="77" customFormat="1" ht="12.75" customHeight="1">
      <c r="A6" s="165"/>
      <c r="B6" s="165"/>
      <c r="C6" s="165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8"/>
      <c r="CD6" s="168"/>
      <c r="CE6" s="168"/>
      <c r="CF6" s="168"/>
      <c r="CG6" s="168"/>
      <c r="CH6" s="165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W6" s="165"/>
    </row>
    <row r="7" spans="1:101" s="77" customFormat="1" ht="12">
      <c r="A7" s="166">
        <v>1</v>
      </c>
      <c r="B7" s="166"/>
      <c r="C7" s="166"/>
      <c r="D7" s="166"/>
      <c r="E7" s="166">
        <v>2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>
        <v>3</v>
      </c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>
        <v>4</v>
      </c>
      <c r="BE7" s="166"/>
      <c r="BF7" s="166"/>
      <c r="BG7" s="166"/>
      <c r="BH7" s="166"/>
      <c r="BI7" s="166"/>
      <c r="BJ7" s="166"/>
      <c r="BK7" s="166"/>
      <c r="BL7" s="166"/>
      <c r="BM7" s="166"/>
      <c r="BN7" s="166" t="s">
        <v>69</v>
      </c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76">
        <v>6</v>
      </c>
      <c r="CD7" s="76">
        <v>7</v>
      </c>
      <c r="CE7" s="76">
        <v>8</v>
      </c>
      <c r="CF7" s="76">
        <v>9</v>
      </c>
      <c r="CG7" s="76">
        <v>10</v>
      </c>
      <c r="CH7" s="76">
        <v>11</v>
      </c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W7" s="76">
        <v>11</v>
      </c>
    </row>
    <row r="8" spans="1:101" s="77" customFormat="1" ht="39" customHeight="1">
      <c r="A8" s="167">
        <v>1</v>
      </c>
      <c r="B8" s="167"/>
      <c r="C8" s="167"/>
      <c r="D8" s="167"/>
      <c r="E8" s="169" t="s">
        <v>177</v>
      </c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76"/>
      <c r="CD8" s="80"/>
      <c r="CE8" s="82"/>
      <c r="CF8" s="82"/>
      <c r="CG8" s="82"/>
      <c r="CH8" s="82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W8" s="82"/>
    </row>
    <row r="9" spans="1:101" s="77" customFormat="1" ht="24" customHeight="1">
      <c r="A9" s="167">
        <v>2</v>
      </c>
      <c r="B9" s="167"/>
      <c r="C9" s="167"/>
      <c r="D9" s="167"/>
      <c r="E9" s="169" t="s">
        <v>178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72">
        <v>10117</v>
      </c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217">
        <v>1</v>
      </c>
      <c r="BE9" s="217"/>
      <c r="BF9" s="217"/>
      <c r="BG9" s="217"/>
      <c r="BH9" s="217"/>
      <c r="BI9" s="217"/>
      <c r="BJ9" s="217"/>
      <c r="BK9" s="217"/>
      <c r="BL9" s="217"/>
      <c r="BM9" s="217"/>
      <c r="BN9" s="172">
        <f>AN9*BD9</f>
        <v>10117</v>
      </c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76"/>
      <c r="CD9" s="80">
        <f>BN9</f>
        <v>10117</v>
      </c>
      <c r="CE9" s="82"/>
      <c r="CF9" s="82"/>
      <c r="CG9" s="82"/>
      <c r="CH9" s="82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W9" s="82"/>
    </row>
    <row r="10" spans="1:101" s="77" customFormat="1" ht="35.25" customHeight="1">
      <c r="A10" s="167">
        <f aca="true" t="shared" si="0" ref="A10:A18">A9+1</f>
        <v>3</v>
      </c>
      <c r="B10" s="167"/>
      <c r="C10" s="167"/>
      <c r="D10" s="167"/>
      <c r="E10" s="169" t="s">
        <v>179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2">
        <f>BN10</f>
        <v>7787.63</v>
      </c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217">
        <v>1</v>
      </c>
      <c r="BE10" s="217"/>
      <c r="BF10" s="217"/>
      <c r="BG10" s="217"/>
      <c r="BH10" s="217"/>
      <c r="BI10" s="217"/>
      <c r="BJ10" s="217"/>
      <c r="BK10" s="217"/>
      <c r="BL10" s="217"/>
      <c r="BM10" s="217"/>
      <c r="BN10" s="172">
        <f>CD10</f>
        <v>7787.63</v>
      </c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80"/>
      <c r="CD10" s="80">
        <v>7787.63</v>
      </c>
      <c r="CE10" s="82"/>
      <c r="CF10" s="82"/>
      <c r="CG10" s="82"/>
      <c r="CH10" s="82"/>
      <c r="CI10" s="216">
        <f>12258.47-7765.24</f>
        <v>4493.23</v>
      </c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W10" s="82"/>
    </row>
    <row r="11" spans="1:101" s="77" customFormat="1" ht="63" customHeight="1">
      <c r="A11" s="167">
        <f t="shared" si="0"/>
        <v>4</v>
      </c>
      <c r="B11" s="167"/>
      <c r="C11" s="167"/>
      <c r="D11" s="167"/>
      <c r="E11" s="169" t="s">
        <v>180</v>
      </c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72">
        <v>6400</v>
      </c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217">
        <v>2</v>
      </c>
      <c r="BE11" s="217"/>
      <c r="BF11" s="217"/>
      <c r="BG11" s="217"/>
      <c r="BH11" s="217"/>
      <c r="BI11" s="217"/>
      <c r="BJ11" s="217"/>
      <c r="BK11" s="217"/>
      <c r="BL11" s="217"/>
      <c r="BM11" s="217"/>
      <c r="BN11" s="172">
        <f>AN11*BD11</f>
        <v>12800</v>
      </c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76"/>
      <c r="CD11" s="80">
        <f>BN11</f>
        <v>12800</v>
      </c>
      <c r="CE11" s="82"/>
      <c r="CF11" s="82"/>
      <c r="CG11" s="82"/>
      <c r="CH11" s="82"/>
      <c r="CI11" s="216">
        <f>12800-13312</f>
        <v>-512</v>
      </c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W11" s="82"/>
    </row>
    <row r="12" spans="1:101" s="77" customFormat="1" ht="66.75" customHeight="1">
      <c r="A12" s="167">
        <f t="shared" si="0"/>
        <v>5</v>
      </c>
      <c r="B12" s="167"/>
      <c r="C12" s="167"/>
      <c r="D12" s="167"/>
      <c r="E12" s="169" t="s">
        <v>181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72">
        <v>1200</v>
      </c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217">
        <v>2</v>
      </c>
      <c r="BE12" s="217"/>
      <c r="BF12" s="217"/>
      <c r="BG12" s="217"/>
      <c r="BH12" s="217"/>
      <c r="BI12" s="217"/>
      <c r="BJ12" s="217"/>
      <c r="BK12" s="217"/>
      <c r="BL12" s="217"/>
      <c r="BM12" s="217"/>
      <c r="BN12" s="172">
        <f>AN12*BD12</f>
        <v>2400</v>
      </c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76"/>
      <c r="CD12" s="80">
        <v>2400</v>
      </c>
      <c r="CE12" s="82"/>
      <c r="CF12" s="82"/>
      <c r="CG12" s="82"/>
      <c r="CH12" s="82"/>
      <c r="CI12" s="216">
        <f>2400-1587.6</f>
        <v>812.4000000000001</v>
      </c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W12" s="82"/>
    </row>
    <row r="13" spans="1:101" s="77" customFormat="1" ht="39.75" customHeight="1">
      <c r="A13" s="167">
        <f t="shared" si="0"/>
        <v>6</v>
      </c>
      <c r="B13" s="167"/>
      <c r="C13" s="167"/>
      <c r="D13" s="167"/>
      <c r="E13" s="169" t="s">
        <v>182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7">
        <v>1934</v>
      </c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72">
        <v>1</v>
      </c>
      <c r="BE13" s="172"/>
      <c r="BF13" s="172"/>
      <c r="BG13" s="172"/>
      <c r="BH13" s="172"/>
      <c r="BI13" s="172"/>
      <c r="BJ13" s="172"/>
      <c r="BK13" s="172"/>
      <c r="BL13" s="172"/>
      <c r="BM13" s="172"/>
      <c r="BN13" s="172">
        <f>AN13*BD13</f>
        <v>1934</v>
      </c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76"/>
      <c r="CD13" s="80">
        <f>BN13</f>
        <v>1934</v>
      </c>
      <c r="CE13" s="82"/>
      <c r="CF13" s="82"/>
      <c r="CG13" s="82"/>
      <c r="CH13" s="82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W13" s="82"/>
    </row>
    <row r="14" spans="1:101" s="77" customFormat="1" ht="40.5" customHeight="1">
      <c r="A14" s="167">
        <f t="shared" si="0"/>
        <v>7</v>
      </c>
      <c r="B14" s="167"/>
      <c r="C14" s="167"/>
      <c r="D14" s="167"/>
      <c r="E14" s="169" t="s">
        <v>183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7">
        <f>BN14/BD14</f>
        <v>3310.8866666666668</v>
      </c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217">
        <v>12</v>
      </c>
      <c r="BE14" s="217"/>
      <c r="BF14" s="217"/>
      <c r="BG14" s="217"/>
      <c r="BH14" s="217"/>
      <c r="BI14" s="217"/>
      <c r="BJ14" s="217"/>
      <c r="BK14" s="217"/>
      <c r="BL14" s="217"/>
      <c r="BM14" s="217"/>
      <c r="BN14" s="172">
        <v>39730.64</v>
      </c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76"/>
      <c r="CD14" s="80">
        <v>39730.64</v>
      </c>
      <c r="CE14" s="82"/>
      <c r="CF14" s="82"/>
      <c r="CG14" s="82"/>
      <c r="CH14" s="82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W14" s="82"/>
    </row>
    <row r="15" spans="1:101" s="77" customFormat="1" ht="40.5" customHeight="1">
      <c r="A15" s="167">
        <f t="shared" si="0"/>
        <v>8</v>
      </c>
      <c r="B15" s="167"/>
      <c r="C15" s="167"/>
      <c r="D15" s="167"/>
      <c r="E15" s="169" t="s">
        <v>184</v>
      </c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7">
        <f>BN15/BD15</f>
        <v>1698.61</v>
      </c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72">
        <v>12</v>
      </c>
      <c r="BE15" s="172"/>
      <c r="BF15" s="172"/>
      <c r="BG15" s="172"/>
      <c r="BH15" s="172"/>
      <c r="BI15" s="172"/>
      <c r="BJ15" s="172"/>
      <c r="BK15" s="172"/>
      <c r="BL15" s="172"/>
      <c r="BM15" s="172"/>
      <c r="BN15" s="172">
        <v>20383.32</v>
      </c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76"/>
      <c r="CD15" s="80">
        <v>20383.32</v>
      </c>
      <c r="CE15" s="82"/>
      <c r="CF15" s="82"/>
      <c r="CG15" s="82"/>
      <c r="CH15" s="82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W15" s="82"/>
    </row>
    <row r="16" spans="1:101" s="77" customFormat="1" ht="33" customHeight="1">
      <c r="A16" s="167">
        <f t="shared" si="0"/>
        <v>9</v>
      </c>
      <c r="B16" s="167"/>
      <c r="C16" s="167"/>
      <c r="D16" s="167"/>
      <c r="E16" s="169" t="s">
        <v>185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72">
        <f>BN16/BD16</f>
        <v>3439.375555555556</v>
      </c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67">
        <v>9</v>
      </c>
      <c r="BE16" s="167"/>
      <c r="BF16" s="167"/>
      <c r="BG16" s="167"/>
      <c r="BH16" s="167"/>
      <c r="BI16" s="167"/>
      <c r="BJ16" s="167"/>
      <c r="BK16" s="167"/>
      <c r="BL16" s="167"/>
      <c r="BM16" s="167"/>
      <c r="BN16" s="172">
        <f>CD16</f>
        <v>30954.38</v>
      </c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76"/>
      <c r="CD16" s="80">
        <v>30954.38</v>
      </c>
      <c r="CE16" s="82"/>
      <c r="CF16" s="82"/>
      <c r="CG16" s="82"/>
      <c r="CH16" s="82"/>
      <c r="CI16" s="216"/>
      <c r="CJ16" s="216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W16" s="82"/>
    </row>
    <row r="17" spans="1:101" s="77" customFormat="1" ht="33" customHeight="1">
      <c r="A17" s="167">
        <f t="shared" si="0"/>
        <v>10</v>
      </c>
      <c r="B17" s="167"/>
      <c r="C17" s="167"/>
      <c r="D17" s="167"/>
      <c r="E17" s="169" t="s">
        <v>246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72">
        <f>BN17/BD17</f>
        <v>700</v>
      </c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67">
        <v>3</v>
      </c>
      <c r="BE17" s="167"/>
      <c r="BF17" s="167"/>
      <c r="BG17" s="167"/>
      <c r="BH17" s="167"/>
      <c r="BI17" s="167"/>
      <c r="BJ17" s="167"/>
      <c r="BK17" s="167"/>
      <c r="BL17" s="167"/>
      <c r="BM17" s="167"/>
      <c r="BN17" s="172">
        <f>600+1500</f>
        <v>2100</v>
      </c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76"/>
      <c r="CD17" s="80">
        <f>BN17</f>
        <v>2100</v>
      </c>
      <c r="CE17" s="82"/>
      <c r="CF17" s="82"/>
      <c r="CG17" s="82"/>
      <c r="CH17" s="82"/>
      <c r="CI17" s="216">
        <f>600-0</f>
        <v>600</v>
      </c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W17" s="76">
        <f>2100-600</f>
        <v>1500</v>
      </c>
    </row>
    <row r="18" spans="1:101" s="77" customFormat="1" ht="33" customHeight="1">
      <c r="A18" s="167">
        <f t="shared" si="0"/>
        <v>11</v>
      </c>
      <c r="B18" s="167"/>
      <c r="C18" s="167"/>
      <c r="D18" s="167"/>
      <c r="E18" s="274" t="s">
        <v>248</v>
      </c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86"/>
      <c r="AO18" s="286">
        <v>10258.5</v>
      </c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6">
        <v>4</v>
      </c>
      <c r="BE18" s="277"/>
      <c r="BF18" s="277"/>
      <c r="BG18" s="277"/>
      <c r="BH18" s="277"/>
      <c r="BI18" s="277"/>
      <c r="BJ18" s="277"/>
      <c r="BK18" s="277"/>
      <c r="BL18" s="277"/>
      <c r="BM18" s="277"/>
      <c r="BN18" s="278">
        <f>AO18*BD18</f>
        <v>41034</v>
      </c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80"/>
      <c r="CC18" s="87"/>
      <c r="CD18" s="88">
        <f>BN18</f>
        <v>41034</v>
      </c>
      <c r="CE18" s="87"/>
      <c r="CF18" s="87"/>
      <c r="CG18" s="87"/>
      <c r="CH18" s="88"/>
      <c r="CI18" s="281">
        <f>41034-0</f>
        <v>41034</v>
      </c>
      <c r="CJ18" s="277"/>
      <c r="CK18" s="277"/>
      <c r="CL18" s="277"/>
      <c r="CM18" s="277"/>
      <c r="CN18" s="277"/>
      <c r="CO18" s="277"/>
      <c r="CP18" s="277"/>
      <c r="CQ18" s="277"/>
      <c r="CR18" s="277"/>
      <c r="CS18" s="277"/>
      <c r="CT18" s="277"/>
      <c r="CU18" s="282"/>
      <c r="CW18" s="88"/>
    </row>
    <row r="19" spans="1:101" s="77" customFormat="1" ht="21" customHeight="1">
      <c r="A19" s="155" t="s">
        <v>132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7" t="s">
        <v>44</v>
      </c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 t="s">
        <v>44</v>
      </c>
      <c r="BE19" s="157"/>
      <c r="BF19" s="157"/>
      <c r="BG19" s="157"/>
      <c r="BH19" s="157"/>
      <c r="BI19" s="157"/>
      <c r="BJ19" s="157"/>
      <c r="BK19" s="157"/>
      <c r="BL19" s="157"/>
      <c r="BM19" s="157"/>
      <c r="BN19" s="157">
        <f>SUM(BN8:BN18)</f>
        <v>169240.97</v>
      </c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84"/>
      <c r="CD19" s="84">
        <f>SUM(CD8:CD18)</f>
        <v>169240.97</v>
      </c>
      <c r="CE19" s="89"/>
      <c r="CF19" s="89"/>
      <c r="CG19" s="84"/>
      <c r="CH19" s="84"/>
      <c r="CI19" s="197">
        <f>SUM(CI10:CI18)</f>
        <v>46427.63</v>
      </c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W19" s="114">
        <v>1500</v>
      </c>
    </row>
    <row r="20" s="1" customFormat="1" ht="30" customHeight="1"/>
    <row r="21" spans="1:101" s="6" customFormat="1" ht="41.25" customHeight="1">
      <c r="A21" s="10" t="s">
        <v>186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W21" s="10"/>
    </row>
    <row r="22" spans="1:80" s="8" customFormat="1" ht="7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</row>
    <row r="23" spans="1:99" s="77" customFormat="1" ht="12.75" customHeight="1">
      <c r="A23" s="165" t="s">
        <v>7</v>
      </c>
      <c r="B23" s="165"/>
      <c r="C23" s="165"/>
      <c r="D23" s="165"/>
      <c r="E23" s="166" t="s">
        <v>53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5" t="s">
        <v>129</v>
      </c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 t="s">
        <v>130</v>
      </c>
      <c r="BE23" s="165"/>
      <c r="BF23" s="165"/>
      <c r="BG23" s="165"/>
      <c r="BH23" s="165"/>
      <c r="BI23" s="165"/>
      <c r="BJ23" s="165"/>
      <c r="BK23" s="165"/>
      <c r="BL23" s="165"/>
      <c r="BM23" s="165"/>
      <c r="BN23" s="165" t="s">
        <v>131</v>
      </c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7" t="s">
        <v>12</v>
      </c>
      <c r="CD23" s="167"/>
      <c r="CE23" s="167"/>
      <c r="CF23" s="167"/>
      <c r="CG23" s="167"/>
      <c r="CH23" s="167"/>
      <c r="CI23" s="240" t="s">
        <v>245</v>
      </c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</row>
    <row r="24" spans="1:101" s="77" customFormat="1" ht="83.25" customHeight="1">
      <c r="A24" s="165"/>
      <c r="B24" s="165"/>
      <c r="C24" s="165"/>
      <c r="D24" s="165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 t="s">
        <v>17</v>
      </c>
      <c r="CD24" s="165"/>
      <c r="CE24" s="165" t="s">
        <v>18</v>
      </c>
      <c r="CF24" s="165"/>
      <c r="CG24" s="165"/>
      <c r="CH24" s="165" t="s">
        <v>19</v>
      </c>
      <c r="CI24" s="241" t="s">
        <v>244</v>
      </c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3"/>
      <c r="CW24" s="165" t="s">
        <v>19</v>
      </c>
    </row>
    <row r="25" spans="1:101" s="77" customFormat="1" ht="12.75" customHeight="1">
      <c r="A25" s="165"/>
      <c r="B25" s="165"/>
      <c r="C25" s="165"/>
      <c r="D25" s="165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8" t="s">
        <v>20</v>
      </c>
      <c r="CD25" s="168" t="s">
        <v>21</v>
      </c>
      <c r="CE25" s="168" t="s">
        <v>22</v>
      </c>
      <c r="CF25" s="168" t="s">
        <v>20</v>
      </c>
      <c r="CG25" s="168" t="s">
        <v>21</v>
      </c>
      <c r="CH25" s="165"/>
      <c r="CI25" s="244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6"/>
      <c r="CW25" s="165"/>
    </row>
    <row r="26" spans="1:101" s="77" customFormat="1" ht="12">
      <c r="A26" s="165"/>
      <c r="B26" s="165"/>
      <c r="C26" s="165"/>
      <c r="D26" s="165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8"/>
      <c r="CD26" s="168"/>
      <c r="CE26" s="168"/>
      <c r="CF26" s="168"/>
      <c r="CG26" s="168"/>
      <c r="CH26" s="165"/>
      <c r="CI26" s="244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6"/>
      <c r="CW26" s="165"/>
    </row>
    <row r="27" spans="1:101" s="77" customFormat="1" ht="12">
      <c r="A27" s="166">
        <v>1</v>
      </c>
      <c r="B27" s="166"/>
      <c r="C27" s="166"/>
      <c r="D27" s="166"/>
      <c r="E27" s="166">
        <v>2</v>
      </c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>
        <v>3</v>
      </c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>
        <v>4</v>
      </c>
      <c r="BE27" s="166"/>
      <c r="BF27" s="166"/>
      <c r="BG27" s="166"/>
      <c r="BH27" s="166"/>
      <c r="BI27" s="166"/>
      <c r="BJ27" s="166"/>
      <c r="BK27" s="166"/>
      <c r="BL27" s="166"/>
      <c r="BM27" s="166"/>
      <c r="BN27" s="166" t="s">
        <v>69</v>
      </c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76">
        <v>6</v>
      </c>
      <c r="CD27" s="76">
        <v>7</v>
      </c>
      <c r="CE27" s="76">
        <v>8</v>
      </c>
      <c r="CF27" s="76">
        <v>9</v>
      </c>
      <c r="CG27" s="76">
        <v>10</v>
      </c>
      <c r="CH27" s="76">
        <v>11</v>
      </c>
      <c r="CI27" s="247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9"/>
      <c r="CW27" s="76">
        <v>11</v>
      </c>
    </row>
    <row r="28" spans="1:101" s="77" customFormat="1" ht="38.25" customHeight="1">
      <c r="A28" s="167">
        <v>1</v>
      </c>
      <c r="B28" s="167"/>
      <c r="C28" s="167"/>
      <c r="D28" s="167"/>
      <c r="E28" s="169" t="s">
        <v>256</v>
      </c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72">
        <v>7400</v>
      </c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217">
        <v>1</v>
      </c>
      <c r="BE28" s="217"/>
      <c r="BF28" s="217"/>
      <c r="BG28" s="217"/>
      <c r="BH28" s="217"/>
      <c r="BI28" s="217"/>
      <c r="BJ28" s="217"/>
      <c r="BK28" s="217"/>
      <c r="BL28" s="217"/>
      <c r="BM28" s="217"/>
      <c r="BN28" s="172">
        <f>AN28</f>
        <v>7400</v>
      </c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80"/>
      <c r="CD28" s="80">
        <v>7400</v>
      </c>
      <c r="CE28" s="82"/>
      <c r="CF28" s="82"/>
      <c r="CG28" s="82"/>
      <c r="CH28" s="85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W28" s="85"/>
    </row>
    <row r="29" spans="1:101" s="77" customFormat="1" ht="57" customHeight="1">
      <c r="A29" s="167">
        <f aca="true" t="shared" si="1" ref="A29:A54">A28+1</f>
        <v>2</v>
      </c>
      <c r="B29" s="167"/>
      <c r="C29" s="167"/>
      <c r="D29" s="167"/>
      <c r="E29" s="169" t="s">
        <v>263</v>
      </c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72">
        <v>34716</v>
      </c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217">
        <v>1</v>
      </c>
      <c r="BE29" s="217"/>
      <c r="BF29" s="217"/>
      <c r="BG29" s="217"/>
      <c r="BH29" s="217"/>
      <c r="BI29" s="217"/>
      <c r="BJ29" s="217"/>
      <c r="BK29" s="217"/>
      <c r="BL29" s="217"/>
      <c r="BM29" s="217"/>
      <c r="BN29" s="172">
        <f>AN29</f>
        <v>34716</v>
      </c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80"/>
      <c r="CD29" s="80">
        <v>34716</v>
      </c>
      <c r="CE29" s="82"/>
      <c r="CF29" s="82"/>
      <c r="CG29" s="82"/>
      <c r="CH29" s="85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W29" s="85"/>
    </row>
    <row r="30" spans="1:101" s="77" customFormat="1" ht="123.75" customHeight="1">
      <c r="A30" s="167">
        <f t="shared" si="1"/>
        <v>3</v>
      </c>
      <c r="B30" s="167"/>
      <c r="C30" s="167"/>
      <c r="D30" s="167"/>
      <c r="E30" s="169" t="s">
        <v>187</v>
      </c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72">
        <v>50000</v>
      </c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217">
        <v>1</v>
      </c>
      <c r="BE30" s="217"/>
      <c r="BF30" s="217"/>
      <c r="BG30" s="217"/>
      <c r="BH30" s="217"/>
      <c r="BI30" s="217"/>
      <c r="BJ30" s="217"/>
      <c r="BK30" s="217"/>
      <c r="BL30" s="217"/>
      <c r="BM30" s="217"/>
      <c r="BN30" s="172">
        <v>50000</v>
      </c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80"/>
      <c r="CD30" s="80">
        <f>BN30</f>
        <v>50000</v>
      </c>
      <c r="CE30" s="82"/>
      <c r="CF30" s="82"/>
      <c r="CG30" s="82"/>
      <c r="CH30" s="85"/>
      <c r="CI30" s="216">
        <f>50000-60000</f>
        <v>-10000</v>
      </c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W30" s="85"/>
    </row>
    <row r="31" spans="1:101" s="77" customFormat="1" ht="33.75" customHeight="1">
      <c r="A31" s="167">
        <f t="shared" si="1"/>
        <v>4</v>
      </c>
      <c r="B31" s="167"/>
      <c r="C31" s="167"/>
      <c r="D31" s="167"/>
      <c r="E31" s="169" t="s">
        <v>247</v>
      </c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72">
        <f>BN31/BD31</f>
        <v>3117.8158333333336</v>
      </c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217">
        <v>12</v>
      </c>
      <c r="BE31" s="217"/>
      <c r="BF31" s="217"/>
      <c r="BG31" s="217"/>
      <c r="BH31" s="217"/>
      <c r="BI31" s="217"/>
      <c r="BJ31" s="217"/>
      <c r="BK31" s="217"/>
      <c r="BL31" s="217"/>
      <c r="BM31" s="217"/>
      <c r="BN31" s="172">
        <v>37413.79</v>
      </c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80"/>
      <c r="CD31" s="80">
        <v>37413.79</v>
      </c>
      <c r="CE31" s="82"/>
      <c r="CF31" s="82"/>
      <c r="CG31" s="82"/>
      <c r="CH31" s="85"/>
      <c r="CI31" s="216">
        <f>37413.79-50046.79</f>
        <v>-12633</v>
      </c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W31" s="85"/>
    </row>
    <row r="32" spans="1:101" s="77" customFormat="1" ht="24" customHeight="1">
      <c r="A32" s="167">
        <f t="shared" si="1"/>
        <v>5</v>
      </c>
      <c r="B32" s="167"/>
      <c r="C32" s="167"/>
      <c r="D32" s="167"/>
      <c r="E32" s="169" t="s">
        <v>188</v>
      </c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72">
        <v>3117.82</v>
      </c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217">
        <v>12</v>
      </c>
      <c r="BE32" s="217"/>
      <c r="BF32" s="217"/>
      <c r="BG32" s="217"/>
      <c r="BH32" s="217"/>
      <c r="BI32" s="217"/>
      <c r="BJ32" s="217"/>
      <c r="BK32" s="217"/>
      <c r="BL32" s="217"/>
      <c r="BM32" s="217"/>
      <c r="BN32" s="172">
        <v>37413.79</v>
      </c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80"/>
      <c r="CD32" s="80">
        <v>37413.79</v>
      </c>
      <c r="CE32" s="82"/>
      <c r="CF32" s="82"/>
      <c r="CG32" s="82"/>
      <c r="CH32" s="85"/>
      <c r="CI32" s="216">
        <f>37413.79-50400</f>
        <v>-12986.21</v>
      </c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W32" s="85"/>
    </row>
    <row r="33" spans="1:101" s="77" customFormat="1" ht="45" customHeight="1">
      <c r="A33" s="167">
        <f t="shared" si="1"/>
        <v>6</v>
      </c>
      <c r="B33" s="167"/>
      <c r="C33" s="167"/>
      <c r="D33" s="167"/>
      <c r="E33" s="169" t="s">
        <v>189</v>
      </c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72">
        <v>2000</v>
      </c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0">
        <v>1</v>
      </c>
      <c r="BE33" s="170"/>
      <c r="BF33" s="170"/>
      <c r="BG33" s="170"/>
      <c r="BH33" s="170"/>
      <c r="BI33" s="170"/>
      <c r="BJ33" s="170"/>
      <c r="BK33" s="170"/>
      <c r="BL33" s="170"/>
      <c r="BM33" s="170"/>
      <c r="BN33" s="172">
        <f>AO33</f>
        <v>2000</v>
      </c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80"/>
      <c r="CD33" s="80">
        <f>BN33</f>
        <v>2000</v>
      </c>
      <c r="CE33" s="82"/>
      <c r="CF33" s="82"/>
      <c r="CG33" s="82"/>
      <c r="CH33" s="82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W33" s="82"/>
    </row>
    <row r="34" spans="1:101" s="77" customFormat="1" ht="45" customHeight="1">
      <c r="A34" s="167">
        <f t="shared" si="1"/>
        <v>7</v>
      </c>
      <c r="B34" s="167"/>
      <c r="C34" s="167"/>
      <c r="D34" s="167"/>
      <c r="E34" s="169" t="s">
        <v>190</v>
      </c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72">
        <v>2000</v>
      </c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0">
        <v>1</v>
      </c>
      <c r="BE34" s="170"/>
      <c r="BF34" s="170"/>
      <c r="BG34" s="170"/>
      <c r="BH34" s="170"/>
      <c r="BI34" s="170"/>
      <c r="BJ34" s="170"/>
      <c r="BK34" s="170"/>
      <c r="BL34" s="170"/>
      <c r="BM34" s="170"/>
      <c r="BN34" s="172">
        <f>AO34</f>
        <v>2000</v>
      </c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80"/>
      <c r="CD34" s="80">
        <f>BN34</f>
        <v>2000</v>
      </c>
      <c r="CE34" s="82"/>
      <c r="CF34" s="82"/>
      <c r="CG34" s="82"/>
      <c r="CH34" s="82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W34" s="82"/>
    </row>
    <row r="35" spans="1:101" s="77" customFormat="1" ht="45" customHeight="1">
      <c r="A35" s="167">
        <f t="shared" si="1"/>
        <v>8</v>
      </c>
      <c r="B35" s="167"/>
      <c r="C35" s="167"/>
      <c r="D35" s="167"/>
      <c r="E35" s="169" t="s">
        <v>259</v>
      </c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72">
        <v>20000</v>
      </c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0">
        <v>1</v>
      </c>
      <c r="BE35" s="170"/>
      <c r="BF35" s="170"/>
      <c r="BG35" s="170"/>
      <c r="BH35" s="170"/>
      <c r="BI35" s="170"/>
      <c r="BJ35" s="170"/>
      <c r="BK35" s="170"/>
      <c r="BL35" s="170"/>
      <c r="BM35" s="170"/>
      <c r="BN35" s="172">
        <v>20000</v>
      </c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80"/>
      <c r="CD35" s="80">
        <v>20000</v>
      </c>
      <c r="CE35" s="82"/>
      <c r="CF35" s="82"/>
      <c r="CG35" s="82"/>
      <c r="CH35" s="82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W35" s="82"/>
    </row>
    <row r="36" spans="1:101" s="77" customFormat="1" ht="45" customHeight="1">
      <c r="A36" s="167">
        <f t="shared" si="1"/>
        <v>9</v>
      </c>
      <c r="B36" s="167"/>
      <c r="C36" s="167"/>
      <c r="D36" s="167"/>
      <c r="E36" s="169" t="s">
        <v>260</v>
      </c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72">
        <v>2000</v>
      </c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0">
        <v>1</v>
      </c>
      <c r="BE36" s="170"/>
      <c r="BF36" s="170"/>
      <c r="BG36" s="170"/>
      <c r="BH36" s="170"/>
      <c r="BI36" s="170"/>
      <c r="BJ36" s="170"/>
      <c r="BK36" s="170"/>
      <c r="BL36" s="170"/>
      <c r="BM36" s="170"/>
      <c r="BN36" s="172">
        <v>2000</v>
      </c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80"/>
      <c r="CD36" s="80">
        <v>2000</v>
      </c>
      <c r="CE36" s="82"/>
      <c r="CF36" s="82"/>
      <c r="CG36" s="82"/>
      <c r="CH36" s="82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W36" s="82"/>
    </row>
    <row r="37" spans="1:101" s="77" customFormat="1" ht="45" customHeight="1">
      <c r="A37" s="167">
        <f t="shared" si="1"/>
        <v>10</v>
      </c>
      <c r="B37" s="167"/>
      <c r="C37" s="167"/>
      <c r="D37" s="167"/>
      <c r="E37" s="169" t="s">
        <v>191</v>
      </c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72">
        <v>5000</v>
      </c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0">
        <v>1</v>
      </c>
      <c r="BE37" s="170"/>
      <c r="BF37" s="170"/>
      <c r="BG37" s="170"/>
      <c r="BH37" s="170"/>
      <c r="BI37" s="170"/>
      <c r="BJ37" s="170"/>
      <c r="BK37" s="170"/>
      <c r="BL37" s="170"/>
      <c r="BM37" s="170"/>
      <c r="BN37" s="172">
        <v>5000</v>
      </c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80"/>
      <c r="CD37" s="80">
        <f>BN37</f>
        <v>5000</v>
      </c>
      <c r="CE37" s="82"/>
      <c r="CF37" s="82"/>
      <c r="CG37" s="82"/>
      <c r="CH37" s="90"/>
      <c r="CI37" s="198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200"/>
      <c r="CW37" s="90"/>
    </row>
    <row r="38" spans="1:101" s="77" customFormat="1" ht="45" customHeight="1">
      <c r="A38" s="167">
        <f t="shared" si="1"/>
        <v>11</v>
      </c>
      <c r="B38" s="167"/>
      <c r="C38" s="167"/>
      <c r="D38" s="167"/>
      <c r="E38" s="169" t="s">
        <v>192</v>
      </c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72">
        <v>3000</v>
      </c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0">
        <v>1</v>
      </c>
      <c r="BE38" s="170"/>
      <c r="BF38" s="170"/>
      <c r="BG38" s="170"/>
      <c r="BH38" s="170"/>
      <c r="BI38" s="170"/>
      <c r="BJ38" s="170"/>
      <c r="BK38" s="170"/>
      <c r="BL38" s="170"/>
      <c r="BM38" s="170"/>
      <c r="BN38" s="172">
        <f>AO38</f>
        <v>3000</v>
      </c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80"/>
      <c r="CD38" s="80">
        <f aca="true" t="shared" si="2" ref="CD38:CD52">BN38</f>
        <v>3000</v>
      </c>
      <c r="CE38" s="82"/>
      <c r="CF38" s="82"/>
      <c r="CG38" s="82"/>
      <c r="CH38" s="82"/>
      <c r="CI38" s="198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200"/>
      <c r="CW38" s="82"/>
    </row>
    <row r="39" spans="1:101" s="77" customFormat="1" ht="45" customHeight="1">
      <c r="A39" s="167">
        <f t="shared" si="1"/>
        <v>12</v>
      </c>
      <c r="B39" s="167"/>
      <c r="C39" s="167"/>
      <c r="D39" s="167"/>
      <c r="E39" s="169" t="s">
        <v>193</v>
      </c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72">
        <v>2000</v>
      </c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0">
        <v>1</v>
      </c>
      <c r="BE39" s="170"/>
      <c r="BF39" s="170"/>
      <c r="BG39" s="170"/>
      <c r="BH39" s="170"/>
      <c r="BI39" s="170"/>
      <c r="BJ39" s="170"/>
      <c r="BK39" s="170"/>
      <c r="BL39" s="170"/>
      <c r="BM39" s="170"/>
      <c r="BN39" s="172">
        <f>AO39</f>
        <v>2000</v>
      </c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80"/>
      <c r="CD39" s="80">
        <f t="shared" si="2"/>
        <v>2000</v>
      </c>
      <c r="CE39" s="82"/>
      <c r="CF39" s="82"/>
      <c r="CG39" s="82"/>
      <c r="CH39" s="82"/>
      <c r="CI39" s="198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200"/>
      <c r="CW39" s="82"/>
    </row>
    <row r="40" spans="1:101" s="77" customFormat="1" ht="54.75" customHeight="1">
      <c r="A40" s="167">
        <f t="shared" si="1"/>
        <v>13</v>
      </c>
      <c r="B40" s="167"/>
      <c r="C40" s="167"/>
      <c r="D40" s="167"/>
      <c r="E40" s="169" t="s">
        <v>194</v>
      </c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72">
        <v>2000</v>
      </c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0">
        <v>1</v>
      </c>
      <c r="BE40" s="170"/>
      <c r="BF40" s="170"/>
      <c r="BG40" s="170"/>
      <c r="BH40" s="170"/>
      <c r="BI40" s="170"/>
      <c r="BJ40" s="170"/>
      <c r="BK40" s="170"/>
      <c r="BL40" s="170"/>
      <c r="BM40" s="170"/>
      <c r="BN40" s="172">
        <f>AO40</f>
        <v>2000</v>
      </c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80"/>
      <c r="CD40" s="80">
        <f t="shared" si="2"/>
        <v>2000</v>
      </c>
      <c r="CE40" s="82"/>
      <c r="CF40" s="82"/>
      <c r="CG40" s="82"/>
      <c r="CH40" s="82"/>
      <c r="CI40" s="198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200"/>
      <c r="CW40" s="82"/>
    </row>
    <row r="41" spans="1:101" s="77" customFormat="1" ht="57" customHeight="1">
      <c r="A41" s="167">
        <f t="shared" si="1"/>
        <v>14</v>
      </c>
      <c r="B41" s="167"/>
      <c r="C41" s="167"/>
      <c r="D41" s="167"/>
      <c r="E41" s="169" t="s">
        <v>195</v>
      </c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72">
        <v>2000</v>
      </c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0">
        <v>1</v>
      </c>
      <c r="BE41" s="170"/>
      <c r="BF41" s="170"/>
      <c r="BG41" s="170"/>
      <c r="BH41" s="170"/>
      <c r="BI41" s="170"/>
      <c r="BJ41" s="170"/>
      <c r="BK41" s="170"/>
      <c r="BL41" s="170"/>
      <c r="BM41" s="170"/>
      <c r="BN41" s="172">
        <f>AO41</f>
        <v>2000</v>
      </c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80"/>
      <c r="CD41" s="80">
        <f t="shared" si="2"/>
        <v>2000</v>
      </c>
      <c r="CE41" s="82"/>
      <c r="CF41" s="82"/>
      <c r="CG41" s="82"/>
      <c r="CH41" s="82"/>
      <c r="CI41" s="198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200"/>
      <c r="CW41" s="82"/>
    </row>
    <row r="42" spans="1:101" s="77" customFormat="1" ht="45" customHeight="1">
      <c r="A42" s="167">
        <f t="shared" si="1"/>
        <v>15</v>
      </c>
      <c r="B42" s="167"/>
      <c r="C42" s="167"/>
      <c r="D42" s="167"/>
      <c r="E42" s="169" t="s">
        <v>196</v>
      </c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72">
        <v>2000</v>
      </c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0">
        <v>1</v>
      </c>
      <c r="BE42" s="170"/>
      <c r="BF42" s="170"/>
      <c r="BG42" s="170"/>
      <c r="BH42" s="170"/>
      <c r="BI42" s="170"/>
      <c r="BJ42" s="170"/>
      <c r="BK42" s="170"/>
      <c r="BL42" s="170"/>
      <c r="BM42" s="170"/>
      <c r="BN42" s="172">
        <f>AO42</f>
        <v>2000</v>
      </c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80"/>
      <c r="CD42" s="80">
        <f t="shared" si="2"/>
        <v>2000</v>
      </c>
      <c r="CE42" s="82"/>
      <c r="CF42" s="82"/>
      <c r="CG42" s="82"/>
      <c r="CH42" s="82"/>
      <c r="CI42" s="198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200"/>
      <c r="CW42" s="82"/>
    </row>
    <row r="43" spans="1:101" s="77" customFormat="1" ht="45" customHeight="1">
      <c r="A43" s="167">
        <f t="shared" si="1"/>
        <v>16</v>
      </c>
      <c r="B43" s="167"/>
      <c r="C43" s="167"/>
      <c r="D43" s="167"/>
      <c r="E43" s="169" t="s">
        <v>197</v>
      </c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72">
        <v>18000</v>
      </c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67">
        <v>1</v>
      </c>
      <c r="BE43" s="167"/>
      <c r="BF43" s="167"/>
      <c r="BG43" s="167"/>
      <c r="BH43" s="167"/>
      <c r="BI43" s="167"/>
      <c r="BJ43" s="167"/>
      <c r="BK43" s="167"/>
      <c r="BL43" s="167"/>
      <c r="BM43" s="167"/>
      <c r="BN43" s="172">
        <f>AO43*BD43</f>
        <v>18000</v>
      </c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80"/>
      <c r="CD43" s="80">
        <f t="shared" si="2"/>
        <v>18000</v>
      </c>
      <c r="CE43" s="82"/>
      <c r="CF43" s="82"/>
      <c r="CG43" s="82"/>
      <c r="CH43" s="82"/>
      <c r="CI43" s="198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200"/>
      <c r="CW43" s="82"/>
    </row>
    <row r="44" spans="1:101" s="77" customFormat="1" ht="45" customHeight="1">
      <c r="A44" s="167">
        <f t="shared" si="1"/>
        <v>17</v>
      </c>
      <c r="B44" s="167"/>
      <c r="C44" s="167"/>
      <c r="D44" s="167"/>
      <c r="E44" s="169" t="s">
        <v>198</v>
      </c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72">
        <v>6000</v>
      </c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67">
        <v>1</v>
      </c>
      <c r="BE44" s="167"/>
      <c r="BF44" s="167"/>
      <c r="BG44" s="167"/>
      <c r="BH44" s="167"/>
      <c r="BI44" s="167"/>
      <c r="BJ44" s="167"/>
      <c r="BK44" s="167"/>
      <c r="BL44" s="167"/>
      <c r="BM44" s="167"/>
      <c r="BN44" s="172">
        <f>AO44*BD44</f>
        <v>6000</v>
      </c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80"/>
      <c r="CD44" s="80">
        <f t="shared" si="2"/>
        <v>6000</v>
      </c>
      <c r="CE44" s="82"/>
      <c r="CF44" s="82"/>
      <c r="CG44" s="82"/>
      <c r="CH44" s="82"/>
      <c r="CI44" s="198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200"/>
      <c r="CW44" s="82"/>
    </row>
    <row r="45" spans="1:101" s="77" customFormat="1" ht="45" customHeight="1">
      <c r="A45" s="167">
        <f t="shared" si="1"/>
        <v>18</v>
      </c>
      <c r="B45" s="167"/>
      <c r="C45" s="167"/>
      <c r="D45" s="167"/>
      <c r="E45" s="169" t="s">
        <v>199</v>
      </c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72">
        <v>2000</v>
      </c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67">
        <v>1</v>
      </c>
      <c r="BE45" s="167"/>
      <c r="BF45" s="167"/>
      <c r="BG45" s="167"/>
      <c r="BH45" s="167"/>
      <c r="BI45" s="167"/>
      <c r="BJ45" s="167"/>
      <c r="BK45" s="167"/>
      <c r="BL45" s="167"/>
      <c r="BM45" s="167"/>
      <c r="BN45" s="172">
        <f>AO45*BD45</f>
        <v>2000</v>
      </c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80"/>
      <c r="CD45" s="80">
        <f t="shared" si="2"/>
        <v>2000</v>
      </c>
      <c r="CE45" s="82"/>
      <c r="CF45" s="82"/>
      <c r="CG45" s="82"/>
      <c r="CH45" s="82"/>
      <c r="CI45" s="198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200"/>
      <c r="CW45" s="82"/>
    </row>
    <row r="46" spans="1:101" s="77" customFormat="1" ht="45" customHeight="1">
      <c r="A46" s="167">
        <f t="shared" si="1"/>
        <v>19</v>
      </c>
      <c r="B46" s="167"/>
      <c r="C46" s="167"/>
      <c r="D46" s="167"/>
      <c r="E46" s="169" t="s">
        <v>200</v>
      </c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72">
        <v>4000</v>
      </c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67">
        <v>4</v>
      </c>
      <c r="BE46" s="167"/>
      <c r="BF46" s="167"/>
      <c r="BG46" s="167"/>
      <c r="BH46" s="167"/>
      <c r="BI46" s="167"/>
      <c r="BJ46" s="167"/>
      <c r="BK46" s="167"/>
      <c r="BL46" s="167"/>
      <c r="BM46" s="167"/>
      <c r="BN46" s="172">
        <f>AO46*BD46</f>
        <v>16000</v>
      </c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80"/>
      <c r="CD46" s="80">
        <f t="shared" si="2"/>
        <v>16000</v>
      </c>
      <c r="CE46" s="82"/>
      <c r="CF46" s="82"/>
      <c r="CG46" s="82"/>
      <c r="CH46" s="82"/>
      <c r="CI46" s="198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200"/>
      <c r="CW46" s="82"/>
    </row>
    <row r="47" spans="1:101" s="77" customFormat="1" ht="45" customHeight="1">
      <c r="A47" s="167">
        <f t="shared" si="1"/>
        <v>20</v>
      </c>
      <c r="B47" s="167"/>
      <c r="C47" s="167"/>
      <c r="D47" s="167"/>
      <c r="E47" s="169" t="s">
        <v>201</v>
      </c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72">
        <v>60000</v>
      </c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67">
        <v>2</v>
      </c>
      <c r="BE47" s="167"/>
      <c r="BF47" s="167"/>
      <c r="BG47" s="167"/>
      <c r="BH47" s="167"/>
      <c r="BI47" s="167"/>
      <c r="BJ47" s="167"/>
      <c r="BK47" s="167"/>
      <c r="BL47" s="167"/>
      <c r="BM47" s="167"/>
      <c r="BN47" s="172">
        <f>AO47*BD47</f>
        <v>120000</v>
      </c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80"/>
      <c r="CD47" s="80">
        <f t="shared" si="2"/>
        <v>120000</v>
      </c>
      <c r="CE47" s="82"/>
      <c r="CF47" s="82"/>
      <c r="CG47" s="82"/>
      <c r="CH47" s="82"/>
      <c r="CI47" s="198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200"/>
      <c r="CW47" s="82"/>
    </row>
    <row r="48" spans="1:101" s="77" customFormat="1" ht="45" customHeight="1">
      <c r="A48" s="167">
        <f t="shared" si="1"/>
        <v>21</v>
      </c>
      <c r="B48" s="167"/>
      <c r="C48" s="167"/>
      <c r="D48" s="167"/>
      <c r="E48" s="169" t="s">
        <v>202</v>
      </c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72">
        <v>27500</v>
      </c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67">
        <v>1</v>
      </c>
      <c r="BE48" s="167"/>
      <c r="BF48" s="167"/>
      <c r="BG48" s="167"/>
      <c r="BH48" s="167"/>
      <c r="BI48" s="167"/>
      <c r="BJ48" s="167"/>
      <c r="BK48" s="167"/>
      <c r="BL48" s="167"/>
      <c r="BM48" s="167"/>
      <c r="BN48" s="172">
        <v>27500</v>
      </c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80"/>
      <c r="CD48" s="80">
        <f t="shared" si="2"/>
        <v>27500</v>
      </c>
      <c r="CE48" s="82"/>
      <c r="CF48" s="82"/>
      <c r="CG48" s="82"/>
      <c r="CH48" s="82"/>
      <c r="CI48" s="198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200"/>
      <c r="CW48" s="82"/>
    </row>
    <row r="49" spans="1:101" s="77" customFormat="1" ht="45" customHeight="1">
      <c r="A49" s="167">
        <f t="shared" si="1"/>
        <v>22</v>
      </c>
      <c r="B49" s="167"/>
      <c r="C49" s="167"/>
      <c r="D49" s="167"/>
      <c r="E49" s="169" t="s">
        <v>203</v>
      </c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72">
        <v>2500</v>
      </c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67">
        <v>4</v>
      </c>
      <c r="BE49" s="167"/>
      <c r="BF49" s="167"/>
      <c r="BG49" s="167"/>
      <c r="BH49" s="167"/>
      <c r="BI49" s="167"/>
      <c r="BJ49" s="167"/>
      <c r="BK49" s="167"/>
      <c r="BL49" s="167"/>
      <c r="BM49" s="167"/>
      <c r="BN49" s="172">
        <f>AO49*BD49</f>
        <v>10000</v>
      </c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80"/>
      <c r="CD49" s="80">
        <f t="shared" si="2"/>
        <v>10000</v>
      </c>
      <c r="CE49" s="82"/>
      <c r="CF49" s="82"/>
      <c r="CG49" s="82"/>
      <c r="CH49" s="82"/>
      <c r="CI49" s="198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200"/>
      <c r="CW49" s="82"/>
    </row>
    <row r="50" spans="1:101" s="77" customFormat="1" ht="45" customHeight="1">
      <c r="A50" s="167">
        <f t="shared" si="1"/>
        <v>23</v>
      </c>
      <c r="B50" s="167"/>
      <c r="C50" s="167"/>
      <c r="D50" s="167"/>
      <c r="E50" s="169" t="s">
        <v>204</v>
      </c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72">
        <v>1500</v>
      </c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67">
        <v>1</v>
      </c>
      <c r="BE50" s="167"/>
      <c r="BF50" s="167"/>
      <c r="BG50" s="167"/>
      <c r="BH50" s="167"/>
      <c r="BI50" s="167"/>
      <c r="BJ50" s="167"/>
      <c r="BK50" s="167"/>
      <c r="BL50" s="167"/>
      <c r="BM50" s="167"/>
      <c r="BN50" s="172">
        <f>AO50*BD50</f>
        <v>1500</v>
      </c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80"/>
      <c r="CD50" s="80">
        <f t="shared" si="2"/>
        <v>1500</v>
      </c>
      <c r="CE50" s="82"/>
      <c r="CF50" s="82"/>
      <c r="CG50" s="82"/>
      <c r="CH50" s="82"/>
      <c r="CI50" s="198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200"/>
      <c r="CW50" s="82"/>
    </row>
    <row r="51" spans="1:101" s="77" customFormat="1" ht="45" customHeight="1">
      <c r="A51" s="167">
        <f t="shared" si="1"/>
        <v>24</v>
      </c>
      <c r="B51" s="167"/>
      <c r="C51" s="167"/>
      <c r="D51" s="167"/>
      <c r="E51" s="169" t="s">
        <v>205</v>
      </c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72">
        <v>60000</v>
      </c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67">
        <v>1</v>
      </c>
      <c r="BE51" s="167"/>
      <c r="BF51" s="167"/>
      <c r="BG51" s="167"/>
      <c r="BH51" s="167"/>
      <c r="BI51" s="167"/>
      <c r="BJ51" s="167"/>
      <c r="BK51" s="167"/>
      <c r="BL51" s="167"/>
      <c r="BM51" s="167"/>
      <c r="BN51" s="172">
        <f>AO51*BD51</f>
        <v>60000</v>
      </c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80"/>
      <c r="CD51" s="80">
        <f t="shared" si="2"/>
        <v>60000</v>
      </c>
      <c r="CE51" s="82"/>
      <c r="CF51" s="82"/>
      <c r="CG51" s="82"/>
      <c r="CH51" s="82"/>
      <c r="CI51" s="198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200"/>
      <c r="CW51" s="82"/>
    </row>
    <row r="52" spans="1:101" s="77" customFormat="1" ht="45" customHeight="1">
      <c r="A52" s="167">
        <f t="shared" si="1"/>
        <v>25</v>
      </c>
      <c r="B52" s="167"/>
      <c r="C52" s="167"/>
      <c r="D52" s="167"/>
      <c r="E52" s="169" t="s">
        <v>206</v>
      </c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72">
        <v>3000</v>
      </c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67">
        <v>2</v>
      </c>
      <c r="BE52" s="167"/>
      <c r="BF52" s="167"/>
      <c r="BG52" s="167"/>
      <c r="BH52" s="167"/>
      <c r="BI52" s="167"/>
      <c r="BJ52" s="167"/>
      <c r="BK52" s="167"/>
      <c r="BL52" s="167"/>
      <c r="BM52" s="167"/>
      <c r="BN52" s="172">
        <f>AO52*BD52</f>
        <v>6000</v>
      </c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80"/>
      <c r="CD52" s="80">
        <f t="shared" si="2"/>
        <v>6000</v>
      </c>
      <c r="CE52" s="82"/>
      <c r="CF52" s="82"/>
      <c r="CG52" s="82"/>
      <c r="CH52" s="82"/>
      <c r="CI52" s="198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200"/>
      <c r="CW52" s="82"/>
    </row>
    <row r="53" spans="1:101" s="77" customFormat="1" ht="45" customHeight="1">
      <c r="A53" s="167">
        <f t="shared" si="1"/>
        <v>26</v>
      </c>
      <c r="B53" s="167"/>
      <c r="C53" s="167"/>
      <c r="D53" s="167"/>
      <c r="E53" s="169" t="s">
        <v>255</v>
      </c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72">
        <f>BN53</f>
        <v>15000</v>
      </c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67">
        <v>1</v>
      </c>
      <c r="BE53" s="167"/>
      <c r="BF53" s="167"/>
      <c r="BG53" s="167"/>
      <c r="BH53" s="167"/>
      <c r="BI53" s="167"/>
      <c r="BJ53" s="167"/>
      <c r="BK53" s="167"/>
      <c r="BL53" s="167"/>
      <c r="BM53" s="167"/>
      <c r="BN53" s="172">
        <f>CD53</f>
        <v>15000</v>
      </c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80"/>
      <c r="CD53" s="80">
        <v>15000</v>
      </c>
      <c r="CE53" s="82"/>
      <c r="CF53" s="82"/>
      <c r="CG53" s="82"/>
      <c r="CH53" s="82"/>
      <c r="CI53" s="198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200"/>
      <c r="CW53" s="82"/>
    </row>
    <row r="54" spans="1:101" s="77" customFormat="1" ht="45" customHeight="1">
      <c r="A54" s="167">
        <f t="shared" si="1"/>
        <v>27</v>
      </c>
      <c r="B54" s="167"/>
      <c r="C54" s="167"/>
      <c r="D54" s="167"/>
      <c r="E54" s="169" t="s">
        <v>267</v>
      </c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72">
        <v>14721</v>
      </c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67">
        <v>1</v>
      </c>
      <c r="BE54" s="167"/>
      <c r="BF54" s="167"/>
      <c r="BG54" s="167"/>
      <c r="BH54" s="167"/>
      <c r="BI54" s="167"/>
      <c r="BJ54" s="167"/>
      <c r="BK54" s="167"/>
      <c r="BL54" s="167"/>
      <c r="BM54" s="167"/>
      <c r="BN54" s="172">
        <f>AO54</f>
        <v>14721</v>
      </c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80"/>
      <c r="CD54" s="80">
        <f>BN54</f>
        <v>14721</v>
      </c>
      <c r="CE54" s="82"/>
      <c r="CF54" s="82"/>
      <c r="CG54" s="82"/>
      <c r="CH54" s="82"/>
      <c r="CI54" s="198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200"/>
      <c r="CW54" s="82"/>
    </row>
    <row r="55" spans="1:101" s="77" customFormat="1" ht="19.5" customHeight="1">
      <c r="A55" s="218" t="s">
        <v>60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20"/>
      <c r="AN55" s="221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3"/>
      <c r="BD55" s="224" t="s">
        <v>44</v>
      </c>
      <c r="BE55" s="225"/>
      <c r="BF55" s="225"/>
      <c r="BG55" s="225"/>
      <c r="BH55" s="225"/>
      <c r="BI55" s="225"/>
      <c r="BJ55" s="225"/>
      <c r="BK55" s="225"/>
      <c r="BL55" s="225"/>
      <c r="BM55" s="226"/>
      <c r="BN55" s="211">
        <v>505664.58</v>
      </c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8"/>
      <c r="CC55" s="112"/>
      <c r="CD55" s="112">
        <f>SUM(CD28:CD54)</f>
        <v>505664.58</v>
      </c>
      <c r="CE55" s="112"/>
      <c r="CF55" s="112"/>
      <c r="CG55" s="112"/>
      <c r="CH55" s="112"/>
      <c r="CI55" s="255">
        <f>SUM(CI30:CI52)</f>
        <v>-35619.21</v>
      </c>
      <c r="CJ55" s="256"/>
      <c r="CK55" s="256"/>
      <c r="CL55" s="256"/>
      <c r="CM55" s="256"/>
      <c r="CN55" s="256"/>
      <c r="CO55" s="256"/>
      <c r="CP55" s="256"/>
      <c r="CQ55" s="256"/>
      <c r="CR55" s="256"/>
      <c r="CS55" s="256"/>
      <c r="CT55" s="256"/>
      <c r="CU55" s="257"/>
      <c r="CW55" s="114"/>
    </row>
    <row r="56" s="1" customFormat="1" ht="15" hidden="1"/>
    <row r="57" spans="1:101" s="1" customFormat="1" ht="15" hidden="1">
      <c r="A57" s="10" t="s">
        <v>207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W57" s="10"/>
    </row>
    <row r="58" spans="1:101" s="1" customFormat="1" ht="15" hidden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8"/>
      <c r="CD58" s="8"/>
      <c r="CE58" s="8"/>
      <c r="CF58" s="8"/>
      <c r="CG58" s="8"/>
      <c r="CH58" s="8"/>
      <c r="CW58" s="8"/>
    </row>
    <row r="59" spans="1:86" s="1" customFormat="1" ht="15" customHeight="1" hidden="1">
      <c r="A59" s="118" t="s">
        <v>7</v>
      </c>
      <c r="B59" s="118"/>
      <c r="C59" s="118"/>
      <c r="D59" s="118"/>
      <c r="E59" s="188" t="s">
        <v>53</v>
      </c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18" t="s">
        <v>129</v>
      </c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 t="s">
        <v>130</v>
      </c>
      <c r="BE59" s="118"/>
      <c r="BF59" s="118"/>
      <c r="BG59" s="118"/>
      <c r="BH59" s="118"/>
      <c r="BI59" s="118"/>
      <c r="BJ59" s="118"/>
      <c r="BK59" s="118"/>
      <c r="BL59" s="118"/>
      <c r="BM59" s="118"/>
      <c r="BN59" s="118" t="s">
        <v>131</v>
      </c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20" t="s">
        <v>12</v>
      </c>
      <c r="CD59" s="120"/>
      <c r="CE59" s="120"/>
      <c r="CF59" s="120"/>
      <c r="CG59" s="120"/>
      <c r="CH59" s="120"/>
    </row>
    <row r="60" spans="1:101" s="1" customFormat="1" ht="80.25" customHeight="1" hidden="1">
      <c r="A60" s="118"/>
      <c r="B60" s="118"/>
      <c r="C60" s="118"/>
      <c r="D60" s="11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 t="s">
        <v>17</v>
      </c>
      <c r="CD60" s="118"/>
      <c r="CE60" s="118" t="s">
        <v>18</v>
      </c>
      <c r="CF60" s="118"/>
      <c r="CG60" s="118"/>
      <c r="CH60" s="118" t="s">
        <v>19</v>
      </c>
      <c r="CW60" s="118" t="s">
        <v>19</v>
      </c>
    </row>
    <row r="61" spans="1:101" s="1" customFormat="1" ht="15" customHeight="1" hidden="1">
      <c r="A61" s="118"/>
      <c r="B61" s="118"/>
      <c r="C61" s="118"/>
      <c r="D61" s="11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24" t="s">
        <v>20</v>
      </c>
      <c r="CD61" s="124" t="s">
        <v>21</v>
      </c>
      <c r="CE61" s="124" t="s">
        <v>22</v>
      </c>
      <c r="CF61" s="124" t="s">
        <v>20</v>
      </c>
      <c r="CG61" s="124" t="s">
        <v>21</v>
      </c>
      <c r="CH61" s="118"/>
      <c r="CW61" s="118"/>
    </row>
    <row r="62" spans="1:101" s="1" customFormat="1" ht="15" hidden="1">
      <c r="A62" s="118"/>
      <c r="B62" s="118"/>
      <c r="C62" s="118"/>
      <c r="D62" s="11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24"/>
      <c r="CD62" s="124"/>
      <c r="CE62" s="124"/>
      <c r="CF62" s="124"/>
      <c r="CG62" s="124"/>
      <c r="CH62" s="118"/>
      <c r="CW62" s="118"/>
    </row>
    <row r="63" spans="1:101" s="1" customFormat="1" ht="15" hidden="1">
      <c r="A63" s="188">
        <v>1</v>
      </c>
      <c r="B63" s="188"/>
      <c r="C63" s="188"/>
      <c r="D63" s="188"/>
      <c r="E63" s="188">
        <v>2</v>
      </c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>
        <v>3</v>
      </c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>
        <v>4</v>
      </c>
      <c r="BE63" s="188"/>
      <c r="BF63" s="188"/>
      <c r="BG63" s="188"/>
      <c r="BH63" s="188"/>
      <c r="BI63" s="188"/>
      <c r="BJ63" s="188"/>
      <c r="BK63" s="188"/>
      <c r="BL63" s="188"/>
      <c r="BM63" s="188"/>
      <c r="BN63" s="188" t="s">
        <v>69</v>
      </c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4">
        <v>6</v>
      </c>
      <c r="CD63" s="14">
        <v>7</v>
      </c>
      <c r="CE63" s="14">
        <v>8</v>
      </c>
      <c r="CF63" s="14">
        <v>9</v>
      </c>
      <c r="CG63" s="14">
        <v>10</v>
      </c>
      <c r="CH63" s="14">
        <v>11</v>
      </c>
      <c r="CW63" s="14">
        <v>11</v>
      </c>
    </row>
    <row r="64" spans="1:101" s="1" customFormat="1" ht="15" hidden="1">
      <c r="A64" s="121">
        <v>1</v>
      </c>
      <c r="B64" s="229"/>
      <c r="C64" s="229"/>
      <c r="D64" s="230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122"/>
      <c r="CC64" s="19"/>
      <c r="CD64" s="19"/>
      <c r="CE64" s="19"/>
      <c r="CF64" s="19"/>
      <c r="CG64" s="19"/>
      <c r="CH64" s="19"/>
      <c r="CW64" s="19"/>
    </row>
    <row r="65" spans="1:101" s="1" customFormat="1" ht="15" hidden="1">
      <c r="A65" s="194"/>
      <c r="B65" s="194"/>
      <c r="C65" s="194"/>
      <c r="D65" s="194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9"/>
      <c r="CD65" s="19"/>
      <c r="CE65" s="19"/>
      <c r="CF65" s="19"/>
      <c r="CG65" s="19"/>
      <c r="CH65" s="19"/>
      <c r="CW65" s="19"/>
    </row>
    <row r="66" spans="1:101" s="1" customFormat="1" ht="15" hidden="1">
      <c r="A66" s="122" t="s">
        <v>208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 t="s">
        <v>44</v>
      </c>
      <c r="BE66" s="120"/>
      <c r="BF66" s="120"/>
      <c r="BG66" s="120"/>
      <c r="BH66" s="120"/>
      <c r="BI66" s="120"/>
      <c r="BJ66" s="120"/>
      <c r="BK66" s="120"/>
      <c r="BL66" s="120"/>
      <c r="BM66" s="120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9"/>
      <c r="CD66" s="19"/>
      <c r="CE66" s="19"/>
      <c r="CF66" s="19"/>
      <c r="CG66" s="19"/>
      <c r="CH66" s="19"/>
      <c r="CW66" s="19"/>
    </row>
    <row r="67" s="1" customFormat="1" ht="15" hidden="1"/>
    <row r="68" ht="22.5" customHeight="1" hidden="1"/>
    <row r="69" spans="1:101" s="32" customFormat="1" ht="15" hidden="1">
      <c r="A69" s="107" t="s">
        <v>264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270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W69" s="107"/>
    </row>
    <row r="70" spans="1:99" s="50" customFormat="1" ht="17.25" customHeight="1" hidden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I70" s="272"/>
      <c r="CJ70" s="273"/>
      <c r="CK70" s="273"/>
      <c r="CL70" s="273"/>
      <c r="CM70" s="273"/>
      <c r="CN70" s="273"/>
      <c r="CO70" s="273"/>
      <c r="CP70" s="273"/>
      <c r="CQ70" s="273"/>
      <c r="CR70" s="273"/>
      <c r="CS70" s="273"/>
      <c r="CT70" s="273"/>
      <c r="CU70" s="273"/>
    </row>
    <row r="71" spans="1:99" s="65" customFormat="1" ht="12.75" customHeight="1" hidden="1">
      <c r="A71" s="140" t="s">
        <v>7</v>
      </c>
      <c r="B71" s="140"/>
      <c r="C71" s="140"/>
      <c r="D71" s="140"/>
      <c r="E71" s="139" t="s">
        <v>53</v>
      </c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 t="s">
        <v>172</v>
      </c>
      <c r="AT71" s="139"/>
      <c r="AU71" s="139"/>
      <c r="AV71" s="139"/>
      <c r="AW71" s="139"/>
      <c r="AX71" s="139"/>
      <c r="AY71" s="139"/>
      <c r="AZ71" s="139"/>
      <c r="BA71" s="139"/>
      <c r="BB71" s="139"/>
      <c r="BC71" s="140" t="s">
        <v>210</v>
      </c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39" t="s">
        <v>65</v>
      </c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46"/>
      <c r="CC71" s="142" t="s">
        <v>12</v>
      </c>
      <c r="CD71" s="142"/>
      <c r="CE71" s="142"/>
      <c r="CF71" s="142"/>
      <c r="CG71" s="142"/>
      <c r="CH71" s="142"/>
      <c r="CI71" s="213"/>
      <c r="CJ71" s="213"/>
      <c r="CK71" s="213"/>
      <c r="CL71" s="213"/>
      <c r="CM71" s="213"/>
      <c r="CN71" s="213"/>
      <c r="CO71" s="213"/>
      <c r="CP71" s="213"/>
      <c r="CQ71" s="213"/>
      <c r="CR71" s="213"/>
      <c r="CS71" s="213"/>
      <c r="CT71" s="213"/>
      <c r="CU71" s="213"/>
    </row>
    <row r="72" spans="1:101" s="65" customFormat="1" ht="80.25" customHeight="1" hidden="1">
      <c r="A72" s="140"/>
      <c r="B72" s="140"/>
      <c r="C72" s="140"/>
      <c r="D72" s="140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46"/>
      <c r="CC72" s="143" t="s">
        <v>17</v>
      </c>
      <c r="CD72" s="143"/>
      <c r="CE72" s="143" t="s">
        <v>18</v>
      </c>
      <c r="CF72" s="143"/>
      <c r="CG72" s="143"/>
      <c r="CH72" s="143" t="s">
        <v>19</v>
      </c>
      <c r="CI72" s="214"/>
      <c r="CJ72" s="214"/>
      <c r="CK72" s="214"/>
      <c r="CL72" s="214"/>
      <c r="CM72" s="214"/>
      <c r="CN72" s="214"/>
      <c r="CO72" s="214"/>
      <c r="CP72" s="214"/>
      <c r="CQ72" s="214"/>
      <c r="CR72" s="214"/>
      <c r="CS72" s="214"/>
      <c r="CT72" s="214"/>
      <c r="CU72" s="214"/>
      <c r="CW72" s="143" t="s">
        <v>19</v>
      </c>
    </row>
    <row r="73" spans="1:101" s="65" customFormat="1" ht="12.75" customHeight="1" hidden="1">
      <c r="A73" s="140"/>
      <c r="B73" s="140"/>
      <c r="C73" s="140"/>
      <c r="D73" s="140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46"/>
      <c r="CC73" s="144" t="s">
        <v>20</v>
      </c>
      <c r="CD73" s="144" t="s">
        <v>21</v>
      </c>
      <c r="CE73" s="144" t="s">
        <v>22</v>
      </c>
      <c r="CF73" s="144" t="s">
        <v>20</v>
      </c>
      <c r="CG73" s="144" t="s">
        <v>21</v>
      </c>
      <c r="CH73" s="143"/>
      <c r="CI73" s="214"/>
      <c r="CJ73" s="214"/>
      <c r="CK73" s="214"/>
      <c r="CL73" s="214"/>
      <c r="CM73" s="214"/>
      <c r="CN73" s="214"/>
      <c r="CO73" s="214"/>
      <c r="CP73" s="214"/>
      <c r="CQ73" s="214"/>
      <c r="CR73" s="214"/>
      <c r="CS73" s="214"/>
      <c r="CT73" s="214"/>
      <c r="CU73" s="214"/>
      <c r="CW73" s="143"/>
    </row>
    <row r="74" spans="1:101" s="65" customFormat="1" ht="12" hidden="1">
      <c r="A74" s="140"/>
      <c r="B74" s="140"/>
      <c r="C74" s="140"/>
      <c r="D74" s="140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46"/>
      <c r="CC74" s="144"/>
      <c r="CD74" s="144"/>
      <c r="CE74" s="144"/>
      <c r="CF74" s="144"/>
      <c r="CG74" s="144"/>
      <c r="CH74" s="143"/>
      <c r="CI74" s="214"/>
      <c r="CJ74" s="214"/>
      <c r="CK74" s="214"/>
      <c r="CL74" s="214"/>
      <c r="CM74" s="214"/>
      <c r="CN74" s="214"/>
      <c r="CO74" s="214"/>
      <c r="CP74" s="214"/>
      <c r="CQ74" s="214"/>
      <c r="CR74" s="214"/>
      <c r="CS74" s="214"/>
      <c r="CT74" s="214"/>
      <c r="CU74" s="214"/>
      <c r="CW74" s="143"/>
    </row>
    <row r="75" spans="1:101" s="65" customFormat="1" ht="12" hidden="1">
      <c r="A75" s="139">
        <v>1</v>
      </c>
      <c r="B75" s="139"/>
      <c r="C75" s="139"/>
      <c r="D75" s="139"/>
      <c r="E75" s="139">
        <v>2</v>
      </c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>
        <v>3</v>
      </c>
      <c r="AT75" s="139"/>
      <c r="AU75" s="139"/>
      <c r="AV75" s="139"/>
      <c r="AW75" s="139"/>
      <c r="AX75" s="139"/>
      <c r="AY75" s="139"/>
      <c r="AZ75" s="139"/>
      <c r="BA75" s="139"/>
      <c r="BB75" s="139"/>
      <c r="BC75" s="139">
        <v>4</v>
      </c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 t="s">
        <v>69</v>
      </c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46"/>
      <c r="CC75" s="74">
        <v>6</v>
      </c>
      <c r="CD75" s="74">
        <v>7</v>
      </c>
      <c r="CE75" s="74">
        <v>8</v>
      </c>
      <c r="CF75" s="74">
        <v>9</v>
      </c>
      <c r="CG75" s="74">
        <v>10</v>
      </c>
      <c r="CH75" s="74">
        <v>11</v>
      </c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W75" s="74">
        <v>11</v>
      </c>
    </row>
    <row r="76" spans="1:101" s="65" customFormat="1" ht="12" hidden="1">
      <c r="A76" s="145">
        <v>1</v>
      </c>
      <c r="B76" s="145"/>
      <c r="C76" s="145"/>
      <c r="D76" s="145"/>
      <c r="E76" s="206" t="s">
        <v>265</v>
      </c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8"/>
      <c r="AS76" s="145">
        <v>3</v>
      </c>
      <c r="AT76" s="145"/>
      <c r="AU76" s="145"/>
      <c r="AV76" s="145"/>
      <c r="AW76" s="145"/>
      <c r="AX76" s="145"/>
      <c r="AY76" s="145"/>
      <c r="AZ76" s="145"/>
      <c r="BA76" s="145"/>
      <c r="BB76" s="145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10"/>
      <c r="CC76" s="74"/>
      <c r="CD76" s="108"/>
      <c r="CE76" s="74"/>
      <c r="CF76" s="74"/>
      <c r="CG76" s="74"/>
      <c r="CH76" s="108"/>
      <c r="CI76" s="250"/>
      <c r="CJ76" s="251"/>
      <c r="CK76" s="251"/>
      <c r="CL76" s="251"/>
      <c r="CM76" s="251"/>
      <c r="CN76" s="251"/>
      <c r="CO76" s="251"/>
      <c r="CP76" s="251"/>
      <c r="CQ76" s="251"/>
      <c r="CR76" s="251"/>
      <c r="CS76" s="251"/>
      <c r="CT76" s="251"/>
      <c r="CU76" s="251"/>
      <c r="CW76" s="108"/>
    </row>
    <row r="77" spans="1:101" s="65" customFormat="1" ht="33" customHeight="1" hidden="1">
      <c r="A77" s="155" t="s">
        <v>239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212" t="s">
        <v>44</v>
      </c>
      <c r="AT77" s="212"/>
      <c r="AU77" s="212"/>
      <c r="AV77" s="212"/>
      <c r="AW77" s="212"/>
      <c r="AX77" s="212"/>
      <c r="AY77" s="212"/>
      <c r="AZ77" s="212"/>
      <c r="BA77" s="212"/>
      <c r="BB77" s="212"/>
      <c r="BC77" s="212" t="s">
        <v>44</v>
      </c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157">
        <f>BN76</f>
        <v>0</v>
      </c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211"/>
      <c r="CC77" s="106"/>
      <c r="CD77" s="106">
        <f>SUM(CD76:CD76)</f>
        <v>0</v>
      </c>
      <c r="CE77" s="106"/>
      <c r="CF77" s="106"/>
      <c r="CG77" s="106"/>
      <c r="CH77" s="101"/>
      <c r="CI77" s="250"/>
      <c r="CJ77" s="251"/>
      <c r="CK77" s="251"/>
      <c r="CL77" s="251"/>
      <c r="CM77" s="251"/>
      <c r="CN77" s="251"/>
      <c r="CO77" s="251"/>
      <c r="CP77" s="251"/>
      <c r="CQ77" s="251"/>
      <c r="CR77" s="251"/>
      <c r="CS77" s="251"/>
      <c r="CT77" s="251"/>
      <c r="CU77" s="251"/>
      <c r="CW77" s="101"/>
    </row>
    <row r="78" spans="1:101" ht="45" customHeight="1">
      <c r="A78" s="10" t="s">
        <v>209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W78" s="10"/>
    </row>
    <row r="79" spans="1:101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8"/>
      <c r="CD79" s="8"/>
      <c r="CE79" s="8"/>
      <c r="CF79" s="8"/>
      <c r="CG79" s="8"/>
      <c r="CH79" s="8"/>
      <c r="CW79" s="8"/>
    </row>
    <row r="80" spans="1:99" s="77" customFormat="1" ht="12.75" customHeight="1">
      <c r="A80" s="165" t="s">
        <v>7</v>
      </c>
      <c r="B80" s="165"/>
      <c r="C80" s="165"/>
      <c r="D80" s="165"/>
      <c r="E80" s="166" t="s">
        <v>53</v>
      </c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 t="s">
        <v>172</v>
      </c>
      <c r="AT80" s="166"/>
      <c r="AU80" s="166"/>
      <c r="AV80" s="166"/>
      <c r="AW80" s="166"/>
      <c r="AX80" s="166"/>
      <c r="AY80" s="166"/>
      <c r="AZ80" s="166"/>
      <c r="BA80" s="166"/>
      <c r="BB80" s="166"/>
      <c r="BC80" s="165" t="s">
        <v>210</v>
      </c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6" t="s">
        <v>65</v>
      </c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7" t="s">
        <v>12</v>
      </c>
      <c r="CD80" s="167"/>
      <c r="CE80" s="167"/>
      <c r="CF80" s="167"/>
      <c r="CG80" s="167"/>
      <c r="CH80" s="176"/>
      <c r="CI80" s="258" t="s">
        <v>245</v>
      </c>
      <c r="CJ80" s="259"/>
      <c r="CK80" s="259"/>
      <c r="CL80" s="259"/>
      <c r="CM80" s="259"/>
      <c r="CN80" s="259"/>
      <c r="CO80" s="259"/>
      <c r="CP80" s="259"/>
      <c r="CQ80" s="259"/>
      <c r="CR80" s="259"/>
      <c r="CS80" s="259"/>
      <c r="CT80" s="259"/>
      <c r="CU80" s="260"/>
    </row>
    <row r="81" spans="1:101" s="77" customFormat="1" ht="79.5" customHeight="1">
      <c r="A81" s="165"/>
      <c r="B81" s="165"/>
      <c r="C81" s="165"/>
      <c r="D81" s="165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5" t="s">
        <v>17</v>
      </c>
      <c r="CD81" s="165"/>
      <c r="CE81" s="165" t="s">
        <v>18</v>
      </c>
      <c r="CF81" s="165"/>
      <c r="CG81" s="165"/>
      <c r="CH81" s="231" t="s">
        <v>19</v>
      </c>
      <c r="CI81" s="261" t="s">
        <v>244</v>
      </c>
      <c r="CJ81" s="262"/>
      <c r="CK81" s="262"/>
      <c r="CL81" s="262"/>
      <c r="CM81" s="262"/>
      <c r="CN81" s="262"/>
      <c r="CO81" s="262"/>
      <c r="CP81" s="262"/>
      <c r="CQ81" s="262"/>
      <c r="CR81" s="262"/>
      <c r="CS81" s="262"/>
      <c r="CT81" s="262"/>
      <c r="CU81" s="263"/>
      <c r="CW81" s="231" t="s">
        <v>19</v>
      </c>
    </row>
    <row r="82" spans="1:101" s="77" customFormat="1" ht="12.75" customHeight="1">
      <c r="A82" s="165"/>
      <c r="B82" s="165"/>
      <c r="C82" s="165"/>
      <c r="D82" s="165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8" t="s">
        <v>20</v>
      </c>
      <c r="CD82" s="168" t="s">
        <v>21</v>
      </c>
      <c r="CE82" s="168" t="s">
        <v>22</v>
      </c>
      <c r="CF82" s="168" t="s">
        <v>20</v>
      </c>
      <c r="CG82" s="168" t="s">
        <v>21</v>
      </c>
      <c r="CH82" s="231"/>
      <c r="CI82" s="264"/>
      <c r="CJ82" s="265"/>
      <c r="CK82" s="265"/>
      <c r="CL82" s="265"/>
      <c r="CM82" s="265"/>
      <c r="CN82" s="265"/>
      <c r="CO82" s="265"/>
      <c r="CP82" s="265"/>
      <c r="CQ82" s="265"/>
      <c r="CR82" s="265"/>
      <c r="CS82" s="265"/>
      <c r="CT82" s="265"/>
      <c r="CU82" s="266"/>
      <c r="CW82" s="231"/>
    </row>
    <row r="83" spans="1:101" s="77" customFormat="1" ht="12">
      <c r="A83" s="165"/>
      <c r="B83" s="165"/>
      <c r="C83" s="165"/>
      <c r="D83" s="165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5"/>
      <c r="BD83" s="165"/>
      <c r="BE83" s="165"/>
      <c r="BF83" s="165"/>
      <c r="BG83" s="165"/>
      <c r="BH83" s="165"/>
      <c r="BI83" s="165"/>
      <c r="BJ83" s="165"/>
      <c r="BK83" s="165"/>
      <c r="BL83" s="165"/>
      <c r="BM83" s="165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8"/>
      <c r="CD83" s="168"/>
      <c r="CE83" s="168"/>
      <c r="CF83" s="168"/>
      <c r="CG83" s="168"/>
      <c r="CH83" s="232"/>
      <c r="CI83" s="264"/>
      <c r="CJ83" s="265"/>
      <c r="CK83" s="265"/>
      <c r="CL83" s="265"/>
      <c r="CM83" s="265"/>
      <c r="CN83" s="265"/>
      <c r="CO83" s="265"/>
      <c r="CP83" s="265"/>
      <c r="CQ83" s="265"/>
      <c r="CR83" s="265"/>
      <c r="CS83" s="265"/>
      <c r="CT83" s="265"/>
      <c r="CU83" s="266"/>
      <c r="CW83" s="232"/>
    </row>
    <row r="84" spans="1:101" s="77" customFormat="1" ht="12">
      <c r="A84" s="166">
        <v>1</v>
      </c>
      <c r="B84" s="166"/>
      <c r="C84" s="166"/>
      <c r="D84" s="166"/>
      <c r="E84" s="166">
        <v>2</v>
      </c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>
        <v>3</v>
      </c>
      <c r="AT84" s="166"/>
      <c r="AU84" s="166"/>
      <c r="AV84" s="166"/>
      <c r="AW84" s="166"/>
      <c r="AX84" s="166"/>
      <c r="AY84" s="166"/>
      <c r="AZ84" s="166"/>
      <c r="BA84" s="166"/>
      <c r="BB84" s="166"/>
      <c r="BC84" s="166">
        <v>4</v>
      </c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 t="s">
        <v>69</v>
      </c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76">
        <v>6</v>
      </c>
      <c r="CD84" s="76">
        <v>7</v>
      </c>
      <c r="CE84" s="76">
        <v>8</v>
      </c>
      <c r="CF84" s="76">
        <v>9</v>
      </c>
      <c r="CG84" s="91">
        <v>10</v>
      </c>
      <c r="CH84" s="92">
        <v>11</v>
      </c>
      <c r="CI84" s="267"/>
      <c r="CJ84" s="268"/>
      <c r="CK84" s="268"/>
      <c r="CL84" s="268"/>
      <c r="CM84" s="268"/>
      <c r="CN84" s="268"/>
      <c r="CO84" s="268"/>
      <c r="CP84" s="268"/>
      <c r="CQ84" s="268"/>
      <c r="CR84" s="268"/>
      <c r="CS84" s="268"/>
      <c r="CT84" s="268"/>
      <c r="CU84" s="269"/>
      <c r="CW84" s="92">
        <v>11</v>
      </c>
    </row>
    <row r="85" spans="1:101" s="77" customFormat="1" ht="12">
      <c r="A85" s="167">
        <v>1</v>
      </c>
      <c r="B85" s="167"/>
      <c r="C85" s="167"/>
      <c r="D85" s="167"/>
      <c r="E85" s="201" t="s">
        <v>211</v>
      </c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76"/>
      <c r="CD85" s="80"/>
      <c r="CE85" s="76"/>
      <c r="CF85" s="76"/>
      <c r="CG85" s="91"/>
      <c r="CH85" s="92"/>
      <c r="CI85" s="290"/>
      <c r="CJ85" s="291"/>
      <c r="CK85" s="291"/>
      <c r="CL85" s="291"/>
      <c r="CM85" s="291"/>
      <c r="CN85" s="291"/>
      <c r="CO85" s="291"/>
      <c r="CP85" s="291"/>
      <c r="CQ85" s="291"/>
      <c r="CR85" s="291"/>
      <c r="CS85" s="291"/>
      <c r="CT85" s="291"/>
      <c r="CU85" s="292"/>
      <c r="CW85" s="92"/>
    </row>
    <row r="86" spans="1:101" s="77" customFormat="1" ht="12">
      <c r="A86" s="233" t="s">
        <v>212</v>
      </c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4" t="s">
        <v>44</v>
      </c>
      <c r="AT86" s="234"/>
      <c r="AU86" s="234"/>
      <c r="AV86" s="234"/>
      <c r="AW86" s="234"/>
      <c r="AX86" s="234"/>
      <c r="AY86" s="234"/>
      <c r="AZ86" s="234"/>
      <c r="BA86" s="234"/>
      <c r="BB86" s="234"/>
      <c r="BC86" s="234" t="s">
        <v>44</v>
      </c>
      <c r="BD86" s="234"/>
      <c r="BE86" s="234"/>
      <c r="BF86" s="234"/>
      <c r="BG86" s="234"/>
      <c r="BH86" s="234"/>
      <c r="BI86" s="234"/>
      <c r="BJ86" s="234"/>
      <c r="BK86" s="234"/>
      <c r="BL86" s="234"/>
      <c r="BM86" s="234"/>
      <c r="BN86" s="235">
        <f>SUM(BN85)</f>
        <v>0</v>
      </c>
      <c r="BO86" s="235"/>
      <c r="BP86" s="235"/>
      <c r="BQ86" s="235"/>
      <c r="BR86" s="235"/>
      <c r="BS86" s="235"/>
      <c r="BT86" s="235"/>
      <c r="BU86" s="235"/>
      <c r="BV86" s="235"/>
      <c r="BW86" s="235"/>
      <c r="BX86" s="235"/>
      <c r="BY86" s="235"/>
      <c r="BZ86" s="235"/>
      <c r="CA86" s="235"/>
      <c r="CB86" s="235"/>
      <c r="CC86" s="102"/>
      <c r="CD86" s="103">
        <f>BN86</f>
        <v>0</v>
      </c>
      <c r="CE86" s="102"/>
      <c r="CF86" s="102"/>
      <c r="CG86" s="104"/>
      <c r="CH86" s="105"/>
      <c r="CI86" s="293"/>
      <c r="CJ86" s="294"/>
      <c r="CK86" s="294"/>
      <c r="CL86" s="294"/>
      <c r="CM86" s="294"/>
      <c r="CN86" s="294"/>
      <c r="CO86" s="294"/>
      <c r="CP86" s="294"/>
      <c r="CQ86" s="294"/>
      <c r="CR86" s="294"/>
      <c r="CS86" s="294"/>
      <c r="CT86" s="294"/>
      <c r="CU86" s="295"/>
      <c r="CW86" s="105"/>
    </row>
    <row r="87" spans="1:101" s="77" customFormat="1" ht="39" customHeight="1">
      <c r="A87" s="167">
        <v>1</v>
      </c>
      <c r="B87" s="167"/>
      <c r="C87" s="167"/>
      <c r="D87" s="167"/>
      <c r="E87" s="169" t="s">
        <v>213</v>
      </c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202">
        <v>156</v>
      </c>
      <c r="AT87" s="202"/>
      <c r="AU87" s="202"/>
      <c r="AV87" s="202"/>
      <c r="AW87" s="202"/>
      <c r="AX87" s="202"/>
      <c r="AY87" s="202"/>
      <c r="AZ87" s="202"/>
      <c r="BA87" s="202"/>
      <c r="BB87" s="202"/>
      <c r="BC87" s="186">
        <f>BN87/AS87</f>
        <v>102.5725641025641</v>
      </c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>
        <v>16001.32</v>
      </c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78"/>
      <c r="CD87" s="78">
        <f>BN87</f>
        <v>16001.32</v>
      </c>
      <c r="CE87" s="79"/>
      <c r="CF87" s="79"/>
      <c r="CG87" s="93"/>
      <c r="CH87" s="94"/>
      <c r="CI87" s="203"/>
      <c r="CJ87" s="204"/>
      <c r="CK87" s="204"/>
      <c r="CL87" s="204"/>
      <c r="CM87" s="204"/>
      <c r="CN87" s="204"/>
      <c r="CO87" s="204"/>
      <c r="CP87" s="204"/>
      <c r="CQ87" s="204"/>
      <c r="CR87" s="204"/>
      <c r="CS87" s="204"/>
      <c r="CT87" s="204"/>
      <c r="CU87" s="205"/>
      <c r="CW87" s="94"/>
    </row>
    <row r="88" spans="1:101" s="77" customFormat="1" ht="12">
      <c r="A88" s="233" t="s">
        <v>214</v>
      </c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6" t="s">
        <v>44</v>
      </c>
      <c r="AT88" s="236"/>
      <c r="AU88" s="236"/>
      <c r="AV88" s="236"/>
      <c r="AW88" s="236"/>
      <c r="AX88" s="236"/>
      <c r="AY88" s="236"/>
      <c r="AZ88" s="236"/>
      <c r="BA88" s="236"/>
      <c r="BB88" s="236"/>
      <c r="BC88" s="237" t="s">
        <v>44</v>
      </c>
      <c r="BD88" s="237"/>
      <c r="BE88" s="237"/>
      <c r="BF88" s="237"/>
      <c r="BG88" s="237"/>
      <c r="BH88" s="237"/>
      <c r="BI88" s="237"/>
      <c r="BJ88" s="237"/>
      <c r="BK88" s="237"/>
      <c r="BL88" s="237"/>
      <c r="BM88" s="237"/>
      <c r="BN88" s="237">
        <f>SUM(BN87:CB87)</f>
        <v>16001.32</v>
      </c>
      <c r="BO88" s="237"/>
      <c r="BP88" s="237"/>
      <c r="BQ88" s="237"/>
      <c r="BR88" s="237"/>
      <c r="BS88" s="237"/>
      <c r="BT88" s="237"/>
      <c r="BU88" s="237"/>
      <c r="BV88" s="237"/>
      <c r="BW88" s="237"/>
      <c r="BX88" s="237"/>
      <c r="BY88" s="237"/>
      <c r="BZ88" s="237"/>
      <c r="CA88" s="237"/>
      <c r="CB88" s="237"/>
      <c r="CC88" s="99"/>
      <c r="CD88" s="99">
        <f>SUM(CD87:CD87)</f>
        <v>16001.32</v>
      </c>
      <c r="CE88" s="99"/>
      <c r="CF88" s="99"/>
      <c r="CG88" s="100"/>
      <c r="CH88" s="101"/>
      <c r="CI88" s="252"/>
      <c r="CJ88" s="253"/>
      <c r="CK88" s="253"/>
      <c r="CL88" s="253"/>
      <c r="CM88" s="253"/>
      <c r="CN88" s="253"/>
      <c r="CO88" s="253"/>
      <c r="CP88" s="253"/>
      <c r="CQ88" s="253"/>
      <c r="CR88" s="253"/>
      <c r="CS88" s="253"/>
      <c r="CT88" s="253"/>
      <c r="CU88" s="254"/>
      <c r="CW88" s="101"/>
    </row>
    <row r="89" spans="1:101" s="77" customFormat="1" ht="12" hidden="1">
      <c r="A89" s="201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85"/>
      <c r="CB89" s="185"/>
      <c r="CC89" s="79"/>
      <c r="CD89" s="79"/>
      <c r="CE89" s="79"/>
      <c r="CF89" s="79"/>
      <c r="CG89" s="93"/>
      <c r="CH89" s="94"/>
      <c r="CI89" s="203"/>
      <c r="CJ89" s="204"/>
      <c r="CK89" s="204"/>
      <c r="CL89" s="204"/>
      <c r="CM89" s="204"/>
      <c r="CN89" s="204"/>
      <c r="CO89" s="204"/>
      <c r="CP89" s="204"/>
      <c r="CQ89" s="204"/>
      <c r="CR89" s="204"/>
      <c r="CS89" s="204"/>
      <c r="CT89" s="204"/>
      <c r="CU89" s="205"/>
      <c r="CW89" s="94"/>
    </row>
    <row r="90" spans="1:101" s="77" customFormat="1" ht="12" hidden="1">
      <c r="A90" s="201"/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  <c r="BW90" s="185"/>
      <c r="BX90" s="185"/>
      <c r="BY90" s="185"/>
      <c r="BZ90" s="185"/>
      <c r="CA90" s="185"/>
      <c r="CB90" s="185"/>
      <c r="CC90" s="79"/>
      <c r="CD90" s="79"/>
      <c r="CE90" s="79"/>
      <c r="CF90" s="79"/>
      <c r="CG90" s="93"/>
      <c r="CH90" s="94"/>
      <c r="CI90" s="203"/>
      <c r="CJ90" s="204"/>
      <c r="CK90" s="204"/>
      <c r="CL90" s="204"/>
      <c r="CM90" s="204"/>
      <c r="CN90" s="204"/>
      <c r="CO90" s="204"/>
      <c r="CP90" s="204"/>
      <c r="CQ90" s="204"/>
      <c r="CR90" s="204"/>
      <c r="CS90" s="204"/>
      <c r="CT90" s="204"/>
      <c r="CU90" s="205"/>
      <c r="CW90" s="94"/>
    </row>
    <row r="91" spans="1:101" s="77" customFormat="1" ht="12" hidden="1">
      <c r="A91" s="170" t="s">
        <v>215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202" t="s">
        <v>44</v>
      </c>
      <c r="AT91" s="202"/>
      <c r="AU91" s="202"/>
      <c r="AV91" s="202"/>
      <c r="AW91" s="202"/>
      <c r="AX91" s="202"/>
      <c r="AY91" s="202"/>
      <c r="AZ91" s="202"/>
      <c r="BA91" s="202"/>
      <c r="BB91" s="202"/>
      <c r="BC91" s="186" t="s">
        <v>44</v>
      </c>
      <c r="BD91" s="186"/>
      <c r="BE91" s="186"/>
      <c r="BF91" s="186"/>
      <c r="BG91" s="186"/>
      <c r="BH91" s="186"/>
      <c r="BI91" s="186"/>
      <c r="BJ91" s="186"/>
      <c r="BK91" s="186"/>
      <c r="BL91" s="186"/>
      <c r="BM91" s="186"/>
      <c r="BN91" s="185"/>
      <c r="BO91" s="185"/>
      <c r="BP91" s="185"/>
      <c r="BQ91" s="185"/>
      <c r="BR91" s="185"/>
      <c r="BS91" s="185"/>
      <c r="BT91" s="185"/>
      <c r="BU91" s="185"/>
      <c r="BV91" s="185"/>
      <c r="BW91" s="185"/>
      <c r="BX91" s="185"/>
      <c r="BY91" s="185"/>
      <c r="BZ91" s="185"/>
      <c r="CA91" s="185"/>
      <c r="CB91" s="185"/>
      <c r="CC91" s="79"/>
      <c r="CD91" s="79"/>
      <c r="CE91" s="79"/>
      <c r="CF91" s="79"/>
      <c r="CG91" s="93"/>
      <c r="CH91" s="94"/>
      <c r="CI91" s="203"/>
      <c r="CJ91" s="204"/>
      <c r="CK91" s="204"/>
      <c r="CL91" s="204"/>
      <c r="CM91" s="204"/>
      <c r="CN91" s="204"/>
      <c r="CO91" s="204"/>
      <c r="CP91" s="204"/>
      <c r="CQ91" s="204"/>
      <c r="CR91" s="204"/>
      <c r="CS91" s="204"/>
      <c r="CT91" s="204"/>
      <c r="CU91" s="205"/>
      <c r="CW91" s="94"/>
    </row>
    <row r="92" spans="1:101" s="77" customFormat="1" ht="12" hidden="1">
      <c r="A92" s="201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  <c r="BY92" s="185"/>
      <c r="BZ92" s="185"/>
      <c r="CA92" s="185"/>
      <c r="CB92" s="185"/>
      <c r="CC92" s="79"/>
      <c r="CD92" s="79"/>
      <c r="CE92" s="79"/>
      <c r="CF92" s="79"/>
      <c r="CG92" s="93"/>
      <c r="CH92" s="94"/>
      <c r="CI92" s="203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5"/>
      <c r="CW92" s="94"/>
    </row>
    <row r="93" spans="1:101" s="77" customFormat="1" ht="12" hidden="1">
      <c r="A93" s="201"/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5"/>
      <c r="BQ93" s="185"/>
      <c r="BR93" s="185"/>
      <c r="BS93" s="185"/>
      <c r="BT93" s="185"/>
      <c r="BU93" s="185"/>
      <c r="BV93" s="185"/>
      <c r="BW93" s="185"/>
      <c r="BX93" s="185"/>
      <c r="BY93" s="185"/>
      <c r="BZ93" s="185"/>
      <c r="CA93" s="185"/>
      <c r="CB93" s="185"/>
      <c r="CC93" s="79"/>
      <c r="CD93" s="79"/>
      <c r="CE93" s="79"/>
      <c r="CF93" s="79"/>
      <c r="CG93" s="93"/>
      <c r="CH93" s="94"/>
      <c r="CI93" s="203"/>
      <c r="CJ93" s="204"/>
      <c r="CK93" s="204"/>
      <c r="CL93" s="204"/>
      <c r="CM93" s="204"/>
      <c r="CN93" s="204"/>
      <c r="CO93" s="204"/>
      <c r="CP93" s="204"/>
      <c r="CQ93" s="204"/>
      <c r="CR93" s="204"/>
      <c r="CS93" s="204"/>
      <c r="CT93" s="204"/>
      <c r="CU93" s="205"/>
      <c r="CW93" s="94"/>
    </row>
    <row r="94" spans="1:101" s="77" customFormat="1" ht="12" hidden="1">
      <c r="A94" s="170" t="s">
        <v>216</v>
      </c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202" t="s">
        <v>44</v>
      </c>
      <c r="AT94" s="202"/>
      <c r="AU94" s="202"/>
      <c r="AV94" s="202"/>
      <c r="AW94" s="202"/>
      <c r="AX94" s="202"/>
      <c r="AY94" s="202"/>
      <c r="AZ94" s="202"/>
      <c r="BA94" s="202"/>
      <c r="BB94" s="202"/>
      <c r="BC94" s="186" t="s">
        <v>44</v>
      </c>
      <c r="BD94" s="186"/>
      <c r="BE94" s="186"/>
      <c r="BF94" s="186"/>
      <c r="BG94" s="186"/>
      <c r="BH94" s="186"/>
      <c r="BI94" s="186"/>
      <c r="BJ94" s="186"/>
      <c r="BK94" s="186"/>
      <c r="BL94" s="186"/>
      <c r="BM94" s="186"/>
      <c r="BN94" s="185"/>
      <c r="BO94" s="185"/>
      <c r="BP94" s="185"/>
      <c r="BQ94" s="185"/>
      <c r="BR94" s="185"/>
      <c r="BS94" s="185"/>
      <c r="BT94" s="185"/>
      <c r="BU94" s="185"/>
      <c r="BV94" s="185"/>
      <c r="BW94" s="185"/>
      <c r="BX94" s="185"/>
      <c r="BY94" s="185"/>
      <c r="BZ94" s="185"/>
      <c r="CA94" s="185"/>
      <c r="CB94" s="185"/>
      <c r="CC94" s="79"/>
      <c r="CD94" s="79"/>
      <c r="CE94" s="79"/>
      <c r="CF94" s="79"/>
      <c r="CG94" s="93"/>
      <c r="CH94" s="94"/>
      <c r="CI94" s="203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5"/>
      <c r="CW94" s="94"/>
    </row>
    <row r="95" spans="1:101" s="77" customFormat="1" ht="57" customHeight="1">
      <c r="A95" s="167">
        <v>1</v>
      </c>
      <c r="B95" s="167"/>
      <c r="C95" s="167"/>
      <c r="D95" s="167"/>
      <c r="E95" s="169" t="s">
        <v>217</v>
      </c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202">
        <v>4</v>
      </c>
      <c r="AT95" s="202"/>
      <c r="AU95" s="202"/>
      <c r="AV95" s="202"/>
      <c r="AW95" s="202"/>
      <c r="AX95" s="202"/>
      <c r="AY95" s="202"/>
      <c r="AZ95" s="202"/>
      <c r="BA95" s="202"/>
      <c r="BB95" s="202"/>
      <c r="BC95" s="186">
        <v>1990</v>
      </c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  <c r="BN95" s="186">
        <f>AS95*BC95</f>
        <v>7960</v>
      </c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  <c r="BZ95" s="186"/>
      <c r="CA95" s="186"/>
      <c r="CB95" s="186"/>
      <c r="CC95" s="78"/>
      <c r="CD95" s="78">
        <v>7960</v>
      </c>
      <c r="CE95" s="79"/>
      <c r="CF95" s="79"/>
      <c r="CG95" s="93"/>
      <c r="CH95" s="94"/>
      <c r="CI95" s="203">
        <f>7960-8970.44</f>
        <v>-1010.4400000000005</v>
      </c>
      <c r="CJ95" s="204"/>
      <c r="CK95" s="204"/>
      <c r="CL95" s="204"/>
      <c r="CM95" s="204"/>
      <c r="CN95" s="204"/>
      <c r="CO95" s="204"/>
      <c r="CP95" s="204"/>
      <c r="CQ95" s="204"/>
      <c r="CR95" s="204"/>
      <c r="CS95" s="204"/>
      <c r="CT95" s="204"/>
      <c r="CU95" s="205"/>
      <c r="CW95" s="94"/>
    </row>
    <row r="96" spans="1:101" s="77" customFormat="1" ht="24" customHeight="1">
      <c r="A96" s="155" t="s">
        <v>218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238" t="s">
        <v>44</v>
      </c>
      <c r="AT96" s="238"/>
      <c r="AU96" s="238"/>
      <c r="AV96" s="238"/>
      <c r="AW96" s="238"/>
      <c r="AX96" s="238"/>
      <c r="AY96" s="238"/>
      <c r="AZ96" s="238"/>
      <c r="BA96" s="238"/>
      <c r="BB96" s="238"/>
      <c r="BC96" s="157" t="s">
        <v>44</v>
      </c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>
        <f>SUM(BN95:CB95)</f>
        <v>7960</v>
      </c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83"/>
      <c r="CD96" s="84">
        <f>BN96</f>
        <v>7960</v>
      </c>
      <c r="CE96" s="95"/>
      <c r="CF96" s="95"/>
      <c r="CG96" s="96"/>
      <c r="CH96" s="97"/>
      <c r="CI96" s="283">
        <f>SUM(CI95)</f>
        <v>-1010.4400000000005</v>
      </c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5"/>
      <c r="CW96" s="97"/>
    </row>
    <row r="97" spans="1:101" s="77" customFormat="1" ht="44.25" customHeight="1">
      <c r="A97" s="167">
        <v>1</v>
      </c>
      <c r="B97" s="167"/>
      <c r="C97" s="167"/>
      <c r="D97" s="167"/>
      <c r="E97" s="169" t="s">
        <v>257</v>
      </c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202">
        <v>2</v>
      </c>
      <c r="AT97" s="202"/>
      <c r="AU97" s="202"/>
      <c r="AV97" s="202"/>
      <c r="AW97" s="202"/>
      <c r="AX97" s="202"/>
      <c r="AY97" s="202"/>
      <c r="AZ97" s="202"/>
      <c r="BA97" s="202"/>
      <c r="BB97" s="202"/>
      <c r="BC97" s="186">
        <f>CD97/AS97</f>
        <v>350</v>
      </c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186">
        <f>CD97</f>
        <v>700</v>
      </c>
      <c r="BO97" s="186"/>
      <c r="BP97" s="186"/>
      <c r="BQ97" s="186"/>
      <c r="BR97" s="186"/>
      <c r="BS97" s="186"/>
      <c r="BT97" s="186"/>
      <c r="BU97" s="186"/>
      <c r="BV97" s="186"/>
      <c r="BW97" s="186"/>
      <c r="BX97" s="186"/>
      <c r="BY97" s="186"/>
      <c r="BZ97" s="186"/>
      <c r="CA97" s="186"/>
      <c r="CB97" s="186"/>
      <c r="CC97" s="78"/>
      <c r="CD97" s="78">
        <f>84253.6-83553.6</f>
        <v>700</v>
      </c>
      <c r="CE97" s="79"/>
      <c r="CF97" s="79"/>
      <c r="CG97" s="93"/>
      <c r="CH97" s="98"/>
      <c r="CI97" s="203"/>
      <c r="CJ97" s="204"/>
      <c r="CK97" s="204"/>
      <c r="CL97" s="204"/>
      <c r="CM97" s="204"/>
      <c r="CN97" s="204"/>
      <c r="CO97" s="204"/>
      <c r="CP97" s="204"/>
      <c r="CQ97" s="204"/>
      <c r="CR97" s="204"/>
      <c r="CS97" s="204"/>
      <c r="CT97" s="204"/>
      <c r="CU97" s="205"/>
      <c r="CW97" s="98">
        <v>-83553.6</v>
      </c>
    </row>
    <row r="98" spans="1:101" s="77" customFormat="1" ht="24" customHeight="1">
      <c r="A98" s="167">
        <f>A97+1</f>
        <v>2</v>
      </c>
      <c r="B98" s="167"/>
      <c r="C98" s="167"/>
      <c r="D98" s="167"/>
      <c r="E98" s="201" t="s">
        <v>258</v>
      </c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2">
        <v>100</v>
      </c>
      <c r="AT98" s="202"/>
      <c r="AU98" s="202"/>
      <c r="AV98" s="202"/>
      <c r="AW98" s="202"/>
      <c r="AX98" s="202"/>
      <c r="AY98" s="202"/>
      <c r="AZ98" s="202"/>
      <c r="BA98" s="202"/>
      <c r="BB98" s="202"/>
      <c r="BC98" s="186">
        <f>CD98/AS98</f>
        <v>69.5355</v>
      </c>
      <c r="BD98" s="186"/>
      <c r="BE98" s="186"/>
      <c r="BF98" s="186"/>
      <c r="BG98" s="186"/>
      <c r="BH98" s="186"/>
      <c r="BI98" s="186"/>
      <c r="BJ98" s="186"/>
      <c r="BK98" s="186"/>
      <c r="BL98" s="186"/>
      <c r="BM98" s="186"/>
      <c r="BN98" s="186">
        <f>7824.54+650-0.01-174.53-1346.45-662.24+662.24</f>
        <v>6953.55</v>
      </c>
      <c r="BO98" s="186"/>
      <c r="BP98" s="186"/>
      <c r="BQ98" s="186"/>
      <c r="BR98" s="186"/>
      <c r="BS98" s="186"/>
      <c r="BT98" s="186"/>
      <c r="BU98" s="186"/>
      <c r="BV98" s="186"/>
      <c r="BW98" s="186"/>
      <c r="BX98" s="186"/>
      <c r="BY98" s="186"/>
      <c r="BZ98" s="186"/>
      <c r="CA98" s="186"/>
      <c r="CB98" s="186"/>
      <c r="CC98" s="78"/>
      <c r="CD98" s="78">
        <f>BN98</f>
        <v>6953.55</v>
      </c>
      <c r="CE98" s="79"/>
      <c r="CF98" s="79"/>
      <c r="CG98" s="93"/>
      <c r="CH98" s="98"/>
      <c r="CI98" s="203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5"/>
      <c r="CW98" s="98">
        <f>6953.55-8474.53</f>
        <v>-1520.9800000000005</v>
      </c>
    </row>
    <row r="99" spans="1:101" s="77" customFormat="1" ht="24" customHeight="1">
      <c r="A99" s="167">
        <f>A98+1</f>
        <v>3</v>
      </c>
      <c r="B99" s="167"/>
      <c r="C99" s="167"/>
      <c r="D99" s="167"/>
      <c r="E99" s="201" t="s">
        <v>266</v>
      </c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2"/>
      <c r="AT99" s="202"/>
      <c r="AU99" s="202"/>
      <c r="AV99" s="202"/>
      <c r="AW99" s="202"/>
      <c r="AX99" s="202"/>
      <c r="AY99" s="202"/>
      <c r="AZ99" s="202"/>
      <c r="BA99" s="202"/>
      <c r="BB99" s="202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  <c r="BN99" s="186"/>
      <c r="BO99" s="186"/>
      <c r="BP99" s="186"/>
      <c r="BQ99" s="186"/>
      <c r="BR99" s="186"/>
      <c r="BS99" s="186"/>
      <c r="BT99" s="186"/>
      <c r="BU99" s="186"/>
      <c r="BV99" s="186"/>
      <c r="BW99" s="186"/>
      <c r="BX99" s="186"/>
      <c r="BY99" s="186"/>
      <c r="BZ99" s="186"/>
      <c r="CA99" s="186"/>
      <c r="CB99" s="186"/>
      <c r="CC99" s="78"/>
      <c r="CD99" s="78"/>
      <c r="CE99" s="79"/>
      <c r="CF99" s="79"/>
      <c r="CG99" s="93"/>
      <c r="CH99" s="98"/>
      <c r="CI99" s="203"/>
      <c r="CJ99" s="204"/>
      <c r="CK99" s="204"/>
      <c r="CL99" s="204"/>
      <c r="CM99" s="204"/>
      <c r="CN99" s="204"/>
      <c r="CO99" s="204"/>
      <c r="CP99" s="204"/>
      <c r="CQ99" s="204"/>
      <c r="CR99" s="204"/>
      <c r="CS99" s="204"/>
      <c r="CT99" s="204"/>
      <c r="CU99" s="205"/>
      <c r="CW99" s="98">
        <v>-15000</v>
      </c>
    </row>
    <row r="100" spans="1:101" s="77" customFormat="1" ht="41.25" customHeight="1">
      <c r="A100" s="167">
        <f aca="true" t="shared" si="3" ref="A100:A112">A99+1</f>
        <v>4</v>
      </c>
      <c r="B100" s="167"/>
      <c r="C100" s="167"/>
      <c r="D100" s="167"/>
      <c r="E100" s="169" t="s">
        <v>219</v>
      </c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202">
        <v>1325</v>
      </c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186">
        <f>BN100/AS100</f>
        <v>1.8867924528301887</v>
      </c>
      <c r="BD100" s="186"/>
      <c r="BE100" s="186"/>
      <c r="BF100" s="186"/>
      <c r="BG100" s="186"/>
      <c r="BH100" s="186"/>
      <c r="BI100" s="186"/>
      <c r="BJ100" s="186"/>
      <c r="BK100" s="186"/>
      <c r="BL100" s="186"/>
      <c r="BM100" s="186"/>
      <c r="BN100" s="186">
        <v>2500</v>
      </c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  <c r="BZ100" s="186"/>
      <c r="CA100" s="186"/>
      <c r="CB100" s="186"/>
      <c r="CC100" s="78"/>
      <c r="CD100" s="78">
        <f>BN100</f>
        <v>2500</v>
      </c>
      <c r="CE100" s="79"/>
      <c r="CF100" s="79"/>
      <c r="CG100" s="93"/>
      <c r="CH100" s="94"/>
      <c r="CI100" s="203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5"/>
      <c r="CW100" s="94"/>
    </row>
    <row r="101" spans="1:101" s="77" customFormat="1" ht="24.75" customHeight="1">
      <c r="A101" s="167">
        <f t="shared" si="3"/>
        <v>5</v>
      </c>
      <c r="B101" s="167"/>
      <c r="C101" s="167"/>
      <c r="D101" s="167"/>
      <c r="E101" s="169" t="s">
        <v>220</v>
      </c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202">
        <v>22</v>
      </c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186">
        <f>BN101/AS101</f>
        <v>309.04545454545456</v>
      </c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>
        <v>6799</v>
      </c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78"/>
      <c r="CD101" s="78">
        <f>BN101</f>
        <v>6799</v>
      </c>
      <c r="CE101" s="79"/>
      <c r="CF101" s="79"/>
      <c r="CG101" s="93"/>
      <c r="CH101" s="94"/>
      <c r="CI101" s="203"/>
      <c r="CJ101" s="204"/>
      <c r="CK101" s="204"/>
      <c r="CL101" s="204"/>
      <c r="CM101" s="204"/>
      <c r="CN101" s="204"/>
      <c r="CO101" s="204"/>
      <c r="CP101" s="204"/>
      <c r="CQ101" s="204"/>
      <c r="CR101" s="204"/>
      <c r="CS101" s="204"/>
      <c r="CT101" s="204"/>
      <c r="CU101" s="205"/>
      <c r="CW101" s="94"/>
    </row>
    <row r="102" spans="1:101" s="77" customFormat="1" ht="38.25" customHeight="1">
      <c r="A102" s="167">
        <f t="shared" si="3"/>
        <v>6</v>
      </c>
      <c r="B102" s="167"/>
      <c r="C102" s="167"/>
      <c r="D102" s="167"/>
      <c r="E102" s="169" t="s">
        <v>221</v>
      </c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202">
        <v>543</v>
      </c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186">
        <f>BN102/AS102</f>
        <v>2.7600000000000002</v>
      </c>
      <c r="BD102" s="186"/>
      <c r="BE102" s="186"/>
      <c r="BF102" s="186"/>
      <c r="BG102" s="186"/>
      <c r="BH102" s="186"/>
      <c r="BI102" s="186"/>
      <c r="BJ102" s="186"/>
      <c r="BK102" s="186"/>
      <c r="BL102" s="186"/>
      <c r="BM102" s="186"/>
      <c r="BN102" s="186">
        <v>1498.68</v>
      </c>
      <c r="BO102" s="186"/>
      <c r="BP102" s="186"/>
      <c r="BQ102" s="186"/>
      <c r="BR102" s="186"/>
      <c r="BS102" s="186"/>
      <c r="BT102" s="186"/>
      <c r="BU102" s="186"/>
      <c r="BV102" s="186"/>
      <c r="BW102" s="186"/>
      <c r="BX102" s="186"/>
      <c r="BY102" s="186"/>
      <c r="BZ102" s="186"/>
      <c r="CA102" s="186"/>
      <c r="CB102" s="186"/>
      <c r="CC102" s="78"/>
      <c r="CD102" s="78">
        <f>BN102</f>
        <v>1498.68</v>
      </c>
      <c r="CE102" s="79"/>
      <c r="CF102" s="79"/>
      <c r="CG102" s="93"/>
      <c r="CH102" s="94"/>
      <c r="CI102" s="203"/>
      <c r="CJ102" s="215"/>
      <c r="CK102" s="215"/>
      <c r="CL102" s="215"/>
      <c r="CM102" s="215"/>
      <c r="CN102" s="215"/>
      <c r="CO102" s="215"/>
      <c r="CP102" s="215"/>
      <c r="CQ102" s="215"/>
      <c r="CR102" s="215"/>
      <c r="CS102" s="215"/>
      <c r="CT102" s="215"/>
      <c r="CU102" s="205"/>
      <c r="CW102" s="94"/>
    </row>
    <row r="103" spans="1:101" s="77" customFormat="1" ht="39" customHeight="1">
      <c r="A103" s="167">
        <f t="shared" si="3"/>
        <v>7</v>
      </c>
      <c r="B103" s="167"/>
      <c r="C103" s="167"/>
      <c r="D103" s="167"/>
      <c r="E103" s="169" t="s">
        <v>222</v>
      </c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202">
        <v>1</v>
      </c>
      <c r="AT103" s="202"/>
      <c r="AU103" s="202"/>
      <c r="AV103" s="202"/>
      <c r="AW103" s="202"/>
      <c r="AX103" s="202"/>
      <c r="AY103" s="202"/>
      <c r="AZ103" s="202"/>
      <c r="BA103" s="202"/>
      <c r="BB103" s="202"/>
      <c r="BC103" s="186">
        <v>650</v>
      </c>
      <c r="BD103" s="186"/>
      <c r="BE103" s="186"/>
      <c r="BF103" s="186"/>
      <c r="BG103" s="186"/>
      <c r="BH103" s="186"/>
      <c r="BI103" s="186"/>
      <c r="BJ103" s="186"/>
      <c r="BK103" s="186"/>
      <c r="BL103" s="186"/>
      <c r="BM103" s="186"/>
      <c r="BN103" s="186">
        <v>650</v>
      </c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78"/>
      <c r="CD103" s="78">
        <v>650</v>
      </c>
      <c r="CE103" s="79"/>
      <c r="CF103" s="79"/>
      <c r="CG103" s="93"/>
      <c r="CH103" s="94"/>
      <c r="CI103" s="203"/>
      <c r="CJ103" s="215"/>
      <c r="CK103" s="215"/>
      <c r="CL103" s="215"/>
      <c r="CM103" s="215"/>
      <c r="CN103" s="215"/>
      <c r="CO103" s="215"/>
      <c r="CP103" s="215"/>
      <c r="CQ103" s="215"/>
      <c r="CR103" s="215"/>
      <c r="CS103" s="215"/>
      <c r="CT103" s="215"/>
      <c r="CU103" s="205"/>
      <c r="CW103" s="94"/>
    </row>
    <row r="104" spans="1:101" s="77" customFormat="1" ht="24.75" customHeight="1">
      <c r="A104" s="167">
        <f t="shared" si="3"/>
        <v>8</v>
      </c>
      <c r="B104" s="167"/>
      <c r="C104" s="167"/>
      <c r="D104" s="167"/>
      <c r="E104" s="169" t="s">
        <v>223</v>
      </c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202">
        <v>80</v>
      </c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186">
        <f>BN104/AS104</f>
        <v>70.25</v>
      </c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6"/>
      <c r="BN104" s="186">
        <v>5620</v>
      </c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78"/>
      <c r="CD104" s="78">
        <v>5620</v>
      </c>
      <c r="CE104" s="79"/>
      <c r="CF104" s="79"/>
      <c r="CG104" s="93"/>
      <c r="CH104" s="94"/>
      <c r="CI104" s="203"/>
      <c r="CJ104" s="215"/>
      <c r="CK104" s="215"/>
      <c r="CL104" s="215"/>
      <c r="CM104" s="215"/>
      <c r="CN104" s="215"/>
      <c r="CO104" s="215"/>
      <c r="CP104" s="215"/>
      <c r="CQ104" s="215"/>
      <c r="CR104" s="215"/>
      <c r="CS104" s="215"/>
      <c r="CT104" s="215"/>
      <c r="CU104" s="205"/>
      <c r="CW104" s="94"/>
    </row>
    <row r="105" spans="1:101" s="77" customFormat="1" ht="53.25" customHeight="1">
      <c r="A105" s="167">
        <f t="shared" si="3"/>
        <v>9</v>
      </c>
      <c r="B105" s="167"/>
      <c r="C105" s="167"/>
      <c r="D105" s="167"/>
      <c r="E105" s="169" t="s">
        <v>224</v>
      </c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202">
        <v>62</v>
      </c>
      <c r="AT105" s="202"/>
      <c r="AU105" s="202"/>
      <c r="AV105" s="202"/>
      <c r="AW105" s="202"/>
      <c r="AX105" s="202"/>
      <c r="AY105" s="202"/>
      <c r="AZ105" s="202"/>
      <c r="BA105" s="202"/>
      <c r="BB105" s="202"/>
      <c r="BC105" s="186">
        <f>BN105/AS105</f>
        <v>48.38709677419355</v>
      </c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186"/>
      <c r="BN105" s="186">
        <v>3000</v>
      </c>
      <c r="BO105" s="186"/>
      <c r="BP105" s="186"/>
      <c r="BQ105" s="186"/>
      <c r="BR105" s="186"/>
      <c r="BS105" s="186"/>
      <c r="BT105" s="186"/>
      <c r="BU105" s="186"/>
      <c r="BV105" s="186"/>
      <c r="BW105" s="186"/>
      <c r="BX105" s="186"/>
      <c r="BY105" s="186"/>
      <c r="BZ105" s="186"/>
      <c r="CA105" s="186"/>
      <c r="CB105" s="186"/>
      <c r="CC105" s="78"/>
      <c r="CD105" s="78">
        <v>3000</v>
      </c>
      <c r="CE105" s="79"/>
      <c r="CF105" s="79"/>
      <c r="CG105" s="93"/>
      <c r="CH105" s="94"/>
      <c r="CI105" s="203"/>
      <c r="CJ105" s="215"/>
      <c r="CK105" s="215"/>
      <c r="CL105" s="215"/>
      <c r="CM105" s="215"/>
      <c r="CN105" s="215"/>
      <c r="CO105" s="215"/>
      <c r="CP105" s="215"/>
      <c r="CQ105" s="215"/>
      <c r="CR105" s="215"/>
      <c r="CS105" s="215"/>
      <c r="CT105" s="215"/>
      <c r="CU105" s="205"/>
      <c r="CW105" s="94"/>
    </row>
    <row r="106" spans="1:101" s="77" customFormat="1" ht="54" customHeight="1">
      <c r="A106" s="167">
        <f t="shared" si="3"/>
        <v>10</v>
      </c>
      <c r="B106" s="167"/>
      <c r="C106" s="167"/>
      <c r="D106" s="167"/>
      <c r="E106" s="169" t="s">
        <v>225</v>
      </c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202">
        <v>31</v>
      </c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186">
        <f>BN106/AS106</f>
        <v>59.67741935483871</v>
      </c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>
        <v>1850</v>
      </c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78"/>
      <c r="CD106" s="78">
        <f>BN106</f>
        <v>1850</v>
      </c>
      <c r="CE106" s="79"/>
      <c r="CF106" s="79"/>
      <c r="CG106" s="93"/>
      <c r="CH106" s="94"/>
      <c r="CI106" s="203"/>
      <c r="CJ106" s="215"/>
      <c r="CK106" s="215"/>
      <c r="CL106" s="215"/>
      <c r="CM106" s="215"/>
      <c r="CN106" s="215"/>
      <c r="CO106" s="215"/>
      <c r="CP106" s="215"/>
      <c r="CQ106" s="215"/>
      <c r="CR106" s="215"/>
      <c r="CS106" s="215"/>
      <c r="CT106" s="215"/>
      <c r="CU106" s="205"/>
      <c r="CW106" s="94"/>
    </row>
    <row r="107" spans="1:101" s="77" customFormat="1" ht="24.75" customHeight="1">
      <c r="A107" s="167">
        <f t="shared" si="3"/>
        <v>11</v>
      </c>
      <c r="B107" s="167"/>
      <c r="C107" s="167"/>
      <c r="D107" s="167"/>
      <c r="E107" s="169" t="s">
        <v>226</v>
      </c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202">
        <v>60</v>
      </c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186">
        <f>BN107/AS107</f>
        <v>60</v>
      </c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>
        <v>3600</v>
      </c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  <c r="CC107" s="78"/>
      <c r="CD107" s="78">
        <v>3600</v>
      </c>
      <c r="CE107" s="79"/>
      <c r="CF107" s="79"/>
      <c r="CG107" s="93"/>
      <c r="CH107" s="94"/>
      <c r="CI107" s="203"/>
      <c r="CJ107" s="215"/>
      <c r="CK107" s="215"/>
      <c r="CL107" s="215"/>
      <c r="CM107" s="215"/>
      <c r="CN107" s="215"/>
      <c r="CO107" s="215"/>
      <c r="CP107" s="215"/>
      <c r="CQ107" s="215"/>
      <c r="CR107" s="215"/>
      <c r="CS107" s="215"/>
      <c r="CT107" s="215"/>
      <c r="CU107" s="205"/>
      <c r="CW107" s="94"/>
    </row>
    <row r="108" spans="1:101" s="77" customFormat="1" ht="53.25" customHeight="1">
      <c r="A108" s="167">
        <f t="shared" si="3"/>
        <v>12</v>
      </c>
      <c r="B108" s="167"/>
      <c r="C108" s="167"/>
      <c r="D108" s="167"/>
      <c r="E108" s="169" t="s">
        <v>227</v>
      </c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202">
        <v>2</v>
      </c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186">
        <v>650</v>
      </c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>
        <f>AS108*BC108</f>
        <v>1300</v>
      </c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78"/>
      <c r="CD108" s="78">
        <f>BN108</f>
        <v>1300</v>
      </c>
      <c r="CE108" s="79"/>
      <c r="CF108" s="79"/>
      <c r="CG108" s="93"/>
      <c r="CH108" s="94"/>
      <c r="CI108" s="203"/>
      <c r="CJ108" s="215"/>
      <c r="CK108" s="215"/>
      <c r="CL108" s="215"/>
      <c r="CM108" s="215"/>
      <c r="CN108" s="215"/>
      <c r="CO108" s="215"/>
      <c r="CP108" s="215"/>
      <c r="CQ108" s="215"/>
      <c r="CR108" s="215"/>
      <c r="CS108" s="215"/>
      <c r="CT108" s="215"/>
      <c r="CU108" s="205"/>
      <c r="CW108" s="94"/>
    </row>
    <row r="109" spans="1:101" s="77" customFormat="1" ht="42" customHeight="1">
      <c r="A109" s="167">
        <f t="shared" si="3"/>
        <v>13</v>
      </c>
      <c r="B109" s="167"/>
      <c r="C109" s="167"/>
      <c r="D109" s="167"/>
      <c r="E109" s="169" t="s">
        <v>228</v>
      </c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202">
        <v>60</v>
      </c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186">
        <v>60</v>
      </c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>
        <f>AS109*BC109</f>
        <v>3600</v>
      </c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78"/>
      <c r="CD109" s="78">
        <f>BN109</f>
        <v>3600</v>
      </c>
      <c r="CE109" s="79"/>
      <c r="CF109" s="79"/>
      <c r="CG109" s="93"/>
      <c r="CH109" s="94"/>
      <c r="CI109" s="203"/>
      <c r="CJ109" s="215"/>
      <c r="CK109" s="215"/>
      <c r="CL109" s="215"/>
      <c r="CM109" s="215"/>
      <c r="CN109" s="215"/>
      <c r="CO109" s="215"/>
      <c r="CP109" s="215"/>
      <c r="CQ109" s="215"/>
      <c r="CR109" s="215"/>
      <c r="CS109" s="215"/>
      <c r="CT109" s="215"/>
      <c r="CU109" s="205"/>
      <c r="CW109" s="94"/>
    </row>
    <row r="110" spans="1:101" s="77" customFormat="1" ht="40.5" customHeight="1">
      <c r="A110" s="167">
        <f t="shared" si="3"/>
        <v>14</v>
      </c>
      <c r="B110" s="167"/>
      <c r="C110" s="167"/>
      <c r="D110" s="167"/>
      <c r="E110" s="169" t="s">
        <v>229</v>
      </c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202">
        <v>1</v>
      </c>
      <c r="AT110" s="202"/>
      <c r="AU110" s="202"/>
      <c r="AV110" s="202"/>
      <c r="AW110" s="202"/>
      <c r="AX110" s="202"/>
      <c r="AY110" s="202"/>
      <c r="AZ110" s="202"/>
      <c r="BA110" s="202"/>
      <c r="BB110" s="202"/>
      <c r="BC110" s="186">
        <v>650</v>
      </c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  <c r="BN110" s="186">
        <v>650</v>
      </c>
      <c r="BO110" s="186"/>
      <c r="BP110" s="186"/>
      <c r="BQ110" s="186"/>
      <c r="BR110" s="186"/>
      <c r="BS110" s="186"/>
      <c r="BT110" s="186"/>
      <c r="BU110" s="186"/>
      <c r="BV110" s="186"/>
      <c r="BW110" s="186"/>
      <c r="BX110" s="186"/>
      <c r="BY110" s="186"/>
      <c r="BZ110" s="186"/>
      <c r="CA110" s="186"/>
      <c r="CB110" s="186"/>
      <c r="CC110" s="78"/>
      <c r="CD110" s="78">
        <v>650</v>
      </c>
      <c r="CE110" s="79"/>
      <c r="CF110" s="79"/>
      <c r="CG110" s="93"/>
      <c r="CH110" s="94"/>
      <c r="CI110" s="203"/>
      <c r="CJ110" s="215"/>
      <c r="CK110" s="215"/>
      <c r="CL110" s="215"/>
      <c r="CM110" s="215"/>
      <c r="CN110" s="215"/>
      <c r="CO110" s="215"/>
      <c r="CP110" s="215"/>
      <c r="CQ110" s="215"/>
      <c r="CR110" s="215"/>
      <c r="CS110" s="215"/>
      <c r="CT110" s="215"/>
      <c r="CU110" s="205"/>
      <c r="CW110" s="94"/>
    </row>
    <row r="111" spans="1:101" s="77" customFormat="1" ht="35.25" customHeight="1">
      <c r="A111" s="167">
        <f t="shared" si="3"/>
        <v>15</v>
      </c>
      <c r="B111" s="167"/>
      <c r="C111" s="167"/>
      <c r="D111" s="167"/>
      <c r="E111" s="169" t="s">
        <v>261</v>
      </c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202">
        <v>124</v>
      </c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186">
        <f>BN111/AS111</f>
        <v>112.90322580645162</v>
      </c>
      <c r="BD111" s="186"/>
      <c r="BE111" s="186"/>
      <c r="BF111" s="186"/>
      <c r="BG111" s="186"/>
      <c r="BH111" s="186"/>
      <c r="BI111" s="186"/>
      <c r="BJ111" s="186"/>
      <c r="BK111" s="186"/>
      <c r="BL111" s="186"/>
      <c r="BM111" s="186"/>
      <c r="BN111" s="186">
        <v>14000</v>
      </c>
      <c r="BO111" s="186"/>
      <c r="BP111" s="186"/>
      <c r="BQ111" s="186"/>
      <c r="BR111" s="186"/>
      <c r="BS111" s="186"/>
      <c r="BT111" s="186"/>
      <c r="BU111" s="186"/>
      <c r="BV111" s="186"/>
      <c r="BW111" s="186"/>
      <c r="BX111" s="186"/>
      <c r="BY111" s="186"/>
      <c r="BZ111" s="186"/>
      <c r="CA111" s="186"/>
      <c r="CB111" s="186"/>
      <c r="CC111" s="78"/>
      <c r="CD111" s="78">
        <f>BN111</f>
        <v>14000</v>
      </c>
      <c r="CE111" s="79"/>
      <c r="CF111" s="79"/>
      <c r="CG111" s="93"/>
      <c r="CH111" s="94"/>
      <c r="CI111" s="203"/>
      <c r="CJ111" s="215"/>
      <c r="CK111" s="215"/>
      <c r="CL111" s="215"/>
      <c r="CM111" s="215"/>
      <c r="CN111" s="215"/>
      <c r="CO111" s="215"/>
      <c r="CP111" s="215"/>
      <c r="CQ111" s="215"/>
      <c r="CR111" s="215"/>
      <c r="CS111" s="215"/>
      <c r="CT111" s="215"/>
      <c r="CU111" s="205"/>
      <c r="CW111" s="94"/>
    </row>
    <row r="112" spans="1:101" s="77" customFormat="1" ht="41.25" customHeight="1">
      <c r="A112" s="167">
        <f t="shared" si="3"/>
        <v>16</v>
      </c>
      <c r="B112" s="167"/>
      <c r="C112" s="167"/>
      <c r="D112" s="167"/>
      <c r="E112" s="169" t="s">
        <v>262</v>
      </c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202">
        <v>25</v>
      </c>
      <c r="AT112" s="202"/>
      <c r="AU112" s="202"/>
      <c r="AV112" s="202"/>
      <c r="AW112" s="202"/>
      <c r="AX112" s="202"/>
      <c r="AY112" s="202"/>
      <c r="AZ112" s="202"/>
      <c r="BA112" s="202"/>
      <c r="BB112" s="202"/>
      <c r="BC112" s="186">
        <f>BN112/AS112</f>
        <v>260</v>
      </c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  <c r="BN112" s="186">
        <v>6500</v>
      </c>
      <c r="BO112" s="186"/>
      <c r="BP112" s="186"/>
      <c r="BQ112" s="186"/>
      <c r="BR112" s="186"/>
      <c r="BS112" s="186"/>
      <c r="BT112" s="186"/>
      <c r="BU112" s="186"/>
      <c r="BV112" s="186"/>
      <c r="BW112" s="186"/>
      <c r="BX112" s="186"/>
      <c r="BY112" s="186"/>
      <c r="BZ112" s="186"/>
      <c r="CA112" s="186"/>
      <c r="CB112" s="186"/>
      <c r="CC112" s="78"/>
      <c r="CD112" s="78">
        <v>6500</v>
      </c>
      <c r="CE112" s="79"/>
      <c r="CF112" s="79"/>
      <c r="CG112" s="93"/>
      <c r="CH112" s="94"/>
      <c r="CI112" s="203"/>
      <c r="CJ112" s="215"/>
      <c r="CK112" s="215"/>
      <c r="CL112" s="215"/>
      <c r="CM112" s="215"/>
      <c r="CN112" s="215"/>
      <c r="CO112" s="215"/>
      <c r="CP112" s="215"/>
      <c r="CQ112" s="215"/>
      <c r="CR112" s="215"/>
      <c r="CS112" s="215"/>
      <c r="CT112" s="215"/>
      <c r="CU112" s="205"/>
      <c r="CW112" s="94"/>
    </row>
    <row r="113" spans="1:101" s="77" customFormat="1" ht="12">
      <c r="A113" s="182" t="s">
        <v>230</v>
      </c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239" t="s">
        <v>44</v>
      </c>
      <c r="AT113" s="239"/>
      <c r="AU113" s="239"/>
      <c r="AV113" s="239"/>
      <c r="AW113" s="239"/>
      <c r="AX113" s="239"/>
      <c r="AY113" s="239"/>
      <c r="AZ113" s="239"/>
      <c r="BA113" s="239"/>
      <c r="BB113" s="239"/>
      <c r="BC113" s="183" t="s">
        <v>44</v>
      </c>
      <c r="BD113" s="183"/>
      <c r="BE113" s="183"/>
      <c r="BF113" s="183"/>
      <c r="BG113" s="183"/>
      <c r="BH113" s="183"/>
      <c r="BI113" s="183"/>
      <c r="BJ113" s="183"/>
      <c r="BK113" s="183"/>
      <c r="BL113" s="183"/>
      <c r="BM113" s="183"/>
      <c r="BN113" s="183">
        <f>SUM(BN97:CB112)</f>
        <v>59221.229999999996</v>
      </c>
      <c r="BO113" s="183"/>
      <c r="BP113" s="183"/>
      <c r="BQ113" s="183"/>
      <c r="BR113" s="183"/>
      <c r="BS113" s="183"/>
      <c r="BT113" s="183"/>
      <c r="BU113" s="183"/>
      <c r="BV113" s="183"/>
      <c r="BW113" s="183"/>
      <c r="BX113" s="183"/>
      <c r="BY113" s="183"/>
      <c r="BZ113" s="183"/>
      <c r="CA113" s="183"/>
      <c r="CB113" s="183"/>
      <c r="CC113" s="81"/>
      <c r="CD113" s="113">
        <f>SUM(CD97:CD112)</f>
        <v>59221.229999999996</v>
      </c>
      <c r="CE113" s="79"/>
      <c r="CF113" s="79"/>
      <c r="CG113" s="93"/>
      <c r="CH113" s="113"/>
      <c r="CI113" s="203"/>
      <c r="CJ113" s="215"/>
      <c r="CK113" s="215"/>
      <c r="CL113" s="215"/>
      <c r="CM113" s="215"/>
      <c r="CN113" s="215"/>
      <c r="CO113" s="215"/>
      <c r="CP113" s="215"/>
      <c r="CQ113" s="215"/>
      <c r="CR113" s="215"/>
      <c r="CS113" s="215"/>
      <c r="CT113" s="215"/>
      <c r="CU113" s="205"/>
      <c r="CW113" s="113"/>
    </row>
    <row r="114" spans="1:101" s="77" customFormat="1" ht="39" customHeight="1">
      <c r="A114" s="167">
        <v>1</v>
      </c>
      <c r="B114" s="167"/>
      <c r="C114" s="167"/>
      <c r="D114" s="167"/>
      <c r="E114" s="169" t="s">
        <v>231</v>
      </c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202">
        <v>60</v>
      </c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186">
        <f>BN114/AS114</f>
        <v>750</v>
      </c>
      <c r="BD114" s="186"/>
      <c r="BE114" s="186"/>
      <c r="BF114" s="186"/>
      <c r="BG114" s="186"/>
      <c r="BH114" s="186"/>
      <c r="BI114" s="186"/>
      <c r="BJ114" s="186"/>
      <c r="BK114" s="186"/>
      <c r="BL114" s="186"/>
      <c r="BM114" s="186"/>
      <c r="BN114" s="186">
        <v>45000</v>
      </c>
      <c r="BO114" s="186"/>
      <c r="BP114" s="186"/>
      <c r="BQ114" s="186"/>
      <c r="BR114" s="186"/>
      <c r="BS114" s="186"/>
      <c r="BT114" s="186"/>
      <c r="BU114" s="186"/>
      <c r="BV114" s="186"/>
      <c r="BW114" s="186"/>
      <c r="BX114" s="186"/>
      <c r="BY114" s="186"/>
      <c r="BZ114" s="186"/>
      <c r="CA114" s="186"/>
      <c r="CB114" s="186"/>
      <c r="CC114" s="78"/>
      <c r="CD114" s="78">
        <f>BN114</f>
        <v>45000</v>
      </c>
      <c r="CE114" s="79"/>
      <c r="CF114" s="79"/>
      <c r="CG114" s="93"/>
      <c r="CH114" s="94"/>
      <c r="CI114" s="203"/>
      <c r="CJ114" s="215"/>
      <c r="CK114" s="215"/>
      <c r="CL114" s="215"/>
      <c r="CM114" s="215"/>
      <c r="CN114" s="215"/>
      <c r="CO114" s="215"/>
      <c r="CP114" s="215"/>
      <c r="CQ114" s="215"/>
      <c r="CR114" s="215"/>
      <c r="CS114" s="215"/>
      <c r="CT114" s="215"/>
      <c r="CU114" s="205"/>
      <c r="CW114" s="94"/>
    </row>
    <row r="115" spans="1:101" s="77" customFormat="1" ht="24.75" customHeight="1">
      <c r="A115" s="167">
        <f>A114+1</f>
        <v>2</v>
      </c>
      <c r="B115" s="167"/>
      <c r="C115" s="167"/>
      <c r="D115" s="167"/>
      <c r="E115" s="169" t="s">
        <v>232</v>
      </c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202">
        <v>7</v>
      </c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186">
        <f>BN115/AS115</f>
        <v>714.2857142857143</v>
      </c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  <c r="BN115" s="186">
        <v>5000</v>
      </c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78"/>
      <c r="CD115" s="78">
        <f>BN115</f>
        <v>5000</v>
      </c>
      <c r="CE115" s="79"/>
      <c r="CF115" s="79"/>
      <c r="CG115" s="93"/>
      <c r="CH115" s="94"/>
      <c r="CI115" s="203"/>
      <c r="CJ115" s="215"/>
      <c r="CK115" s="215"/>
      <c r="CL115" s="215"/>
      <c r="CM115" s="215"/>
      <c r="CN115" s="215"/>
      <c r="CO115" s="215"/>
      <c r="CP115" s="215"/>
      <c r="CQ115" s="215"/>
      <c r="CR115" s="215"/>
      <c r="CS115" s="215"/>
      <c r="CT115" s="215"/>
      <c r="CU115" s="205"/>
      <c r="CW115" s="94"/>
    </row>
    <row r="116" spans="1:101" s="77" customFormat="1" ht="51.75" customHeight="1">
      <c r="A116" s="167">
        <f>A115+1</f>
        <v>3</v>
      </c>
      <c r="B116" s="167"/>
      <c r="C116" s="167"/>
      <c r="D116" s="167"/>
      <c r="E116" s="169" t="s">
        <v>233</v>
      </c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202">
        <v>30</v>
      </c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186">
        <f>BN116/AS116</f>
        <v>500</v>
      </c>
      <c r="BD116" s="186"/>
      <c r="BE116" s="186"/>
      <c r="BF116" s="186"/>
      <c r="BG116" s="186"/>
      <c r="BH116" s="186"/>
      <c r="BI116" s="186"/>
      <c r="BJ116" s="186"/>
      <c r="BK116" s="186"/>
      <c r="BL116" s="186"/>
      <c r="BM116" s="186"/>
      <c r="BN116" s="186">
        <v>15000</v>
      </c>
      <c r="BO116" s="186"/>
      <c r="BP116" s="186"/>
      <c r="BQ116" s="186"/>
      <c r="BR116" s="186"/>
      <c r="BS116" s="186"/>
      <c r="BT116" s="186"/>
      <c r="BU116" s="186"/>
      <c r="BV116" s="186"/>
      <c r="BW116" s="186"/>
      <c r="BX116" s="186"/>
      <c r="BY116" s="186"/>
      <c r="BZ116" s="186"/>
      <c r="CA116" s="186"/>
      <c r="CB116" s="186"/>
      <c r="CC116" s="78"/>
      <c r="CD116" s="78">
        <f>BN116</f>
        <v>15000</v>
      </c>
      <c r="CE116" s="79"/>
      <c r="CF116" s="79"/>
      <c r="CG116" s="93"/>
      <c r="CH116" s="94"/>
      <c r="CI116" s="203"/>
      <c r="CJ116" s="215"/>
      <c r="CK116" s="215"/>
      <c r="CL116" s="215"/>
      <c r="CM116" s="215"/>
      <c r="CN116" s="215"/>
      <c r="CO116" s="215"/>
      <c r="CP116" s="215"/>
      <c r="CQ116" s="215"/>
      <c r="CR116" s="215"/>
      <c r="CS116" s="215"/>
      <c r="CT116" s="215"/>
      <c r="CU116" s="205"/>
      <c r="CW116" s="94"/>
    </row>
    <row r="117" spans="1:101" s="77" customFormat="1" ht="12">
      <c r="A117" s="233" t="s">
        <v>234</v>
      </c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7" t="s">
        <v>44</v>
      </c>
      <c r="AT117" s="237"/>
      <c r="AU117" s="237"/>
      <c r="AV117" s="237"/>
      <c r="AW117" s="237"/>
      <c r="AX117" s="237"/>
      <c r="AY117" s="237"/>
      <c r="AZ117" s="237"/>
      <c r="BA117" s="237"/>
      <c r="BB117" s="237"/>
      <c r="BC117" s="237" t="s">
        <v>44</v>
      </c>
      <c r="BD117" s="237"/>
      <c r="BE117" s="237"/>
      <c r="BF117" s="237"/>
      <c r="BG117" s="237"/>
      <c r="BH117" s="237"/>
      <c r="BI117" s="237"/>
      <c r="BJ117" s="237"/>
      <c r="BK117" s="237"/>
      <c r="BL117" s="237"/>
      <c r="BM117" s="237"/>
      <c r="BN117" s="237">
        <f>SUM(BN114:CB116)</f>
        <v>65000</v>
      </c>
      <c r="BO117" s="237"/>
      <c r="BP117" s="237"/>
      <c r="BQ117" s="237"/>
      <c r="BR117" s="237"/>
      <c r="BS117" s="237"/>
      <c r="BT117" s="237"/>
      <c r="BU117" s="237"/>
      <c r="BV117" s="237"/>
      <c r="BW117" s="237"/>
      <c r="BX117" s="237"/>
      <c r="BY117" s="237"/>
      <c r="BZ117" s="237"/>
      <c r="CA117" s="237"/>
      <c r="CB117" s="237"/>
      <c r="CC117" s="109"/>
      <c r="CD117" s="111">
        <f>SUM(CD114:CD116)</f>
        <v>65000</v>
      </c>
      <c r="CE117" s="109"/>
      <c r="CF117" s="109"/>
      <c r="CG117" s="110"/>
      <c r="CH117" s="101"/>
      <c r="CI117" s="287"/>
      <c r="CJ117" s="288"/>
      <c r="CK117" s="288"/>
      <c r="CL117" s="288"/>
      <c r="CM117" s="288"/>
      <c r="CN117" s="288"/>
      <c r="CO117" s="288"/>
      <c r="CP117" s="288"/>
      <c r="CQ117" s="288"/>
      <c r="CR117" s="288"/>
      <c r="CS117" s="288"/>
      <c r="CT117" s="288"/>
      <c r="CU117" s="289"/>
      <c r="CW117" s="101">
        <f>SUM(CW97:CW116)</f>
        <v>-100074.58</v>
      </c>
    </row>
  </sheetData>
  <sheetProtection selectLockedCells="1" selectUnlockedCells="1"/>
  <mergeCells count="564">
    <mergeCell ref="CW4:CW6"/>
    <mergeCell ref="CW24:CW26"/>
    <mergeCell ref="CW60:CW62"/>
    <mergeCell ref="CW72:CW74"/>
    <mergeCell ref="CW81:CW83"/>
    <mergeCell ref="A98:D98"/>
    <mergeCell ref="E98:AR98"/>
    <mergeCell ref="AS98:BB98"/>
    <mergeCell ref="BC98:BM98"/>
    <mergeCell ref="BN98:CB98"/>
    <mergeCell ref="CI98:CU98"/>
    <mergeCell ref="A29:D29"/>
    <mergeCell ref="E29:AM29"/>
    <mergeCell ref="AN29:BC29"/>
    <mergeCell ref="BD29:BM29"/>
    <mergeCell ref="BN29:CB29"/>
    <mergeCell ref="CI29:CU29"/>
    <mergeCell ref="CI97:CU97"/>
    <mergeCell ref="CI85:CU85"/>
    <mergeCell ref="CI86:CU86"/>
    <mergeCell ref="A28:D28"/>
    <mergeCell ref="E28:AM28"/>
    <mergeCell ref="AN28:BC28"/>
    <mergeCell ref="BD28:BM28"/>
    <mergeCell ref="BN28:CB28"/>
    <mergeCell ref="CI28:CU28"/>
    <mergeCell ref="AO18:BC18"/>
    <mergeCell ref="CI116:CU116"/>
    <mergeCell ref="CI117:CU117"/>
    <mergeCell ref="CI109:CU109"/>
    <mergeCell ref="CI110:CU110"/>
    <mergeCell ref="CI111:CU111"/>
    <mergeCell ref="CI113:CU113"/>
    <mergeCell ref="CI114:CU114"/>
    <mergeCell ref="CI115:CU115"/>
    <mergeCell ref="CI104:CU104"/>
    <mergeCell ref="CI105:CU105"/>
    <mergeCell ref="CI106:CU106"/>
    <mergeCell ref="CI107:CU107"/>
    <mergeCell ref="CI108:CU108"/>
    <mergeCell ref="A18:D18"/>
    <mergeCell ref="E18:AM18"/>
    <mergeCell ref="BD18:BM18"/>
    <mergeCell ref="BN18:CB18"/>
    <mergeCell ref="CI18:CU18"/>
    <mergeCell ref="CI96:CU96"/>
    <mergeCell ref="CI100:CU100"/>
    <mergeCell ref="CI101:CU101"/>
    <mergeCell ref="CI102:CU102"/>
    <mergeCell ref="CI103:CU103"/>
    <mergeCell ref="CI90:CU90"/>
    <mergeCell ref="CI91:CU91"/>
    <mergeCell ref="CI92:CU92"/>
    <mergeCell ref="CI93:CU93"/>
    <mergeCell ref="CI94:CU94"/>
    <mergeCell ref="CI95:CU95"/>
    <mergeCell ref="CI87:CU87"/>
    <mergeCell ref="CI88:CU88"/>
    <mergeCell ref="CI89:CU89"/>
    <mergeCell ref="CI55:CU55"/>
    <mergeCell ref="CI80:CU80"/>
    <mergeCell ref="CI81:CU84"/>
    <mergeCell ref="CI69:CU69"/>
    <mergeCell ref="CI70:CU70"/>
    <mergeCell ref="CI51:CU51"/>
    <mergeCell ref="CI53:CU53"/>
    <mergeCell ref="CI77:CU77"/>
    <mergeCell ref="CI76:CU76"/>
    <mergeCell ref="CI45:CU45"/>
    <mergeCell ref="CI46:CU46"/>
    <mergeCell ref="CI52:CU52"/>
    <mergeCell ref="CI47:CU47"/>
    <mergeCell ref="CI48:CU48"/>
    <mergeCell ref="CI49:CU49"/>
    <mergeCell ref="CI50:CU50"/>
    <mergeCell ref="CI39:CU39"/>
    <mergeCell ref="CI40:CU40"/>
    <mergeCell ref="CI41:CU41"/>
    <mergeCell ref="CI42:CU42"/>
    <mergeCell ref="CI43:CU43"/>
    <mergeCell ref="CI44:CU44"/>
    <mergeCell ref="CI32:CU32"/>
    <mergeCell ref="CI33:CU33"/>
    <mergeCell ref="CI34:CU34"/>
    <mergeCell ref="CI38:CU38"/>
    <mergeCell ref="CI36:CU36"/>
    <mergeCell ref="CI23:CU23"/>
    <mergeCell ref="CI24:CU27"/>
    <mergeCell ref="CI30:CU30"/>
    <mergeCell ref="CI31:CU31"/>
    <mergeCell ref="CI37:CU37"/>
    <mergeCell ref="CI19:CU19"/>
    <mergeCell ref="A17:D17"/>
    <mergeCell ref="E17:AM17"/>
    <mergeCell ref="AN17:BC17"/>
    <mergeCell ref="BD17:BM17"/>
    <mergeCell ref="BN17:CB17"/>
    <mergeCell ref="CI17:CU17"/>
    <mergeCell ref="A19:AM19"/>
    <mergeCell ref="AN19:BC19"/>
    <mergeCell ref="BD19:BM19"/>
    <mergeCell ref="A116:D116"/>
    <mergeCell ref="E116:AR116"/>
    <mergeCell ref="AS116:BB116"/>
    <mergeCell ref="BC116:BM116"/>
    <mergeCell ref="BN116:CB116"/>
    <mergeCell ref="CI11:CU11"/>
    <mergeCell ref="CI12:CU12"/>
    <mergeCell ref="CI13:CU13"/>
    <mergeCell ref="CI14:CU14"/>
    <mergeCell ref="CI15:CU15"/>
    <mergeCell ref="AS114:BB114"/>
    <mergeCell ref="BC114:BM114"/>
    <mergeCell ref="BN114:CB114"/>
    <mergeCell ref="A115:D115"/>
    <mergeCell ref="CI3:CU3"/>
    <mergeCell ref="CI4:CU7"/>
    <mergeCell ref="CI8:CU8"/>
    <mergeCell ref="CI9:CU9"/>
    <mergeCell ref="CI10:CU10"/>
    <mergeCell ref="CI16:CU16"/>
    <mergeCell ref="AS111:BB111"/>
    <mergeCell ref="BC111:BM111"/>
    <mergeCell ref="BN111:CB111"/>
    <mergeCell ref="A113:AR113"/>
    <mergeCell ref="A117:AR117"/>
    <mergeCell ref="AS117:BB117"/>
    <mergeCell ref="BC117:BM117"/>
    <mergeCell ref="BN117:CB117"/>
    <mergeCell ref="A114:D114"/>
    <mergeCell ref="E114:AR114"/>
    <mergeCell ref="AS109:BB109"/>
    <mergeCell ref="BC109:BM109"/>
    <mergeCell ref="BN109:CB109"/>
    <mergeCell ref="A110:D110"/>
    <mergeCell ref="E115:AR115"/>
    <mergeCell ref="AS115:BB115"/>
    <mergeCell ref="BC115:BM115"/>
    <mergeCell ref="BN115:CB115"/>
    <mergeCell ref="A111:D111"/>
    <mergeCell ref="E111:AR111"/>
    <mergeCell ref="AS107:BB107"/>
    <mergeCell ref="BC107:BM107"/>
    <mergeCell ref="BN107:CB107"/>
    <mergeCell ref="A108:D108"/>
    <mergeCell ref="AS113:BB113"/>
    <mergeCell ref="BC113:BM113"/>
    <mergeCell ref="BN113:CB113"/>
    <mergeCell ref="A112:D112"/>
    <mergeCell ref="A109:D109"/>
    <mergeCell ref="E109:AR109"/>
    <mergeCell ref="AS105:BB105"/>
    <mergeCell ref="BC105:BM105"/>
    <mergeCell ref="BN105:CB105"/>
    <mergeCell ref="A106:D106"/>
    <mergeCell ref="E110:AR110"/>
    <mergeCell ref="AS110:BB110"/>
    <mergeCell ref="BC110:BM110"/>
    <mergeCell ref="BN110:CB110"/>
    <mergeCell ref="A107:D107"/>
    <mergeCell ref="E107:AR107"/>
    <mergeCell ref="E104:AR104"/>
    <mergeCell ref="AS104:BB104"/>
    <mergeCell ref="BC104:BM104"/>
    <mergeCell ref="BN104:CB104"/>
    <mergeCell ref="A105:D105"/>
    <mergeCell ref="E108:AR108"/>
    <mergeCell ref="AS108:BB108"/>
    <mergeCell ref="BC108:BM108"/>
    <mergeCell ref="BN108:CB108"/>
    <mergeCell ref="E105:AR105"/>
    <mergeCell ref="A103:D103"/>
    <mergeCell ref="E103:AR103"/>
    <mergeCell ref="AS103:BB103"/>
    <mergeCell ref="BC103:BM103"/>
    <mergeCell ref="BN103:CB103"/>
    <mergeCell ref="E106:AR106"/>
    <mergeCell ref="AS106:BB106"/>
    <mergeCell ref="BC106:BM106"/>
    <mergeCell ref="BN106:CB106"/>
    <mergeCell ref="A104:D104"/>
    <mergeCell ref="A102:D102"/>
    <mergeCell ref="E102:AR102"/>
    <mergeCell ref="AS102:BB102"/>
    <mergeCell ref="BC102:BM102"/>
    <mergeCell ref="BN102:CB102"/>
    <mergeCell ref="A100:D100"/>
    <mergeCell ref="E100:AR100"/>
    <mergeCell ref="AS100:BB100"/>
    <mergeCell ref="BC100:BM100"/>
    <mergeCell ref="BN100:CB100"/>
    <mergeCell ref="A101:D101"/>
    <mergeCell ref="E101:AR101"/>
    <mergeCell ref="AS101:BB101"/>
    <mergeCell ref="BC101:BM101"/>
    <mergeCell ref="BN101:CB101"/>
    <mergeCell ref="A96:AR96"/>
    <mergeCell ref="AS96:BB96"/>
    <mergeCell ref="BC96:BM96"/>
    <mergeCell ref="BN96:CB96"/>
    <mergeCell ref="A97:D97"/>
    <mergeCell ref="E97:AR97"/>
    <mergeCell ref="AS97:BB97"/>
    <mergeCell ref="BC97:BM97"/>
    <mergeCell ref="BN97:CB97"/>
    <mergeCell ref="A94:AR94"/>
    <mergeCell ref="AS94:BB94"/>
    <mergeCell ref="BC94:BM94"/>
    <mergeCell ref="BN94:CB94"/>
    <mergeCell ref="A95:D95"/>
    <mergeCell ref="E95:AR95"/>
    <mergeCell ref="AS95:BB95"/>
    <mergeCell ref="BC95:BM95"/>
    <mergeCell ref="BN95:CB95"/>
    <mergeCell ref="A92:D92"/>
    <mergeCell ref="E92:AR92"/>
    <mergeCell ref="AS92:BB92"/>
    <mergeCell ref="BC92:BM92"/>
    <mergeCell ref="BN92:CB92"/>
    <mergeCell ref="A93:D93"/>
    <mergeCell ref="E93:AR93"/>
    <mergeCell ref="AS93:BB93"/>
    <mergeCell ref="BC93:BM93"/>
    <mergeCell ref="BN93:CB93"/>
    <mergeCell ref="A90:D90"/>
    <mergeCell ref="E90:AR90"/>
    <mergeCell ref="AS90:BB90"/>
    <mergeCell ref="BC90:BM90"/>
    <mergeCell ref="BN90:CB90"/>
    <mergeCell ref="A91:AR91"/>
    <mergeCell ref="AS91:BB91"/>
    <mergeCell ref="BC91:BM91"/>
    <mergeCell ref="BN91:CB91"/>
    <mergeCell ref="A88:AR88"/>
    <mergeCell ref="AS88:BB88"/>
    <mergeCell ref="BC88:BM88"/>
    <mergeCell ref="BN88:CB88"/>
    <mergeCell ref="A89:D89"/>
    <mergeCell ref="E89:AR89"/>
    <mergeCell ref="AS89:BB89"/>
    <mergeCell ref="BC89:BM89"/>
    <mergeCell ref="BN89:CB89"/>
    <mergeCell ref="A86:AR86"/>
    <mergeCell ref="AS86:BB86"/>
    <mergeCell ref="BC86:BM86"/>
    <mergeCell ref="BN86:CB86"/>
    <mergeCell ref="A87:D87"/>
    <mergeCell ref="E87:AR87"/>
    <mergeCell ref="AS87:BB87"/>
    <mergeCell ref="BC87:BM87"/>
    <mergeCell ref="BN87:CB87"/>
    <mergeCell ref="A84:D84"/>
    <mergeCell ref="E84:AR84"/>
    <mergeCell ref="AS84:BB84"/>
    <mergeCell ref="BC84:BM84"/>
    <mergeCell ref="BN84:CB84"/>
    <mergeCell ref="A85:D85"/>
    <mergeCell ref="E85:AR85"/>
    <mergeCell ref="AS85:BB85"/>
    <mergeCell ref="BC85:BM85"/>
    <mergeCell ref="BN85:CB85"/>
    <mergeCell ref="CC80:CH80"/>
    <mergeCell ref="CC81:CD81"/>
    <mergeCell ref="CE81:CG81"/>
    <mergeCell ref="CH81:CH83"/>
    <mergeCell ref="CC82:CC83"/>
    <mergeCell ref="CD82:CD83"/>
    <mergeCell ref="CE82:CE83"/>
    <mergeCell ref="CF82:CF83"/>
    <mergeCell ref="CG82:CG83"/>
    <mergeCell ref="A80:D83"/>
    <mergeCell ref="E80:AR83"/>
    <mergeCell ref="AS80:BB83"/>
    <mergeCell ref="BC80:BM83"/>
    <mergeCell ref="BN80:CB83"/>
    <mergeCell ref="A71:D74"/>
    <mergeCell ref="E71:AR74"/>
    <mergeCell ref="AS71:BB74"/>
    <mergeCell ref="BC71:BM74"/>
    <mergeCell ref="BN71:CB74"/>
    <mergeCell ref="A65:D65"/>
    <mergeCell ref="E65:AN65"/>
    <mergeCell ref="AO65:BC65"/>
    <mergeCell ref="BD65:BM65"/>
    <mergeCell ref="BN65:CB65"/>
    <mergeCell ref="A66:AN66"/>
    <mergeCell ref="AO66:BC66"/>
    <mergeCell ref="BD66:BM66"/>
    <mergeCell ref="BN66:CB66"/>
    <mergeCell ref="AO59:BC62"/>
    <mergeCell ref="BD59:BM62"/>
    <mergeCell ref="BN59:CB62"/>
    <mergeCell ref="A64:D64"/>
    <mergeCell ref="E64:AN64"/>
    <mergeCell ref="AO64:BC64"/>
    <mergeCell ref="BD64:BM64"/>
    <mergeCell ref="BN64:CB64"/>
    <mergeCell ref="CE61:CE62"/>
    <mergeCell ref="CF61:CF62"/>
    <mergeCell ref="CG61:CG62"/>
    <mergeCell ref="A63:D63"/>
    <mergeCell ref="E63:AN63"/>
    <mergeCell ref="AO63:BC63"/>
    <mergeCell ref="BD63:BM63"/>
    <mergeCell ref="BN63:CB63"/>
    <mergeCell ref="A59:D62"/>
    <mergeCell ref="E59:AN62"/>
    <mergeCell ref="E51:AN51"/>
    <mergeCell ref="AO51:BC51"/>
    <mergeCell ref="BD51:BM51"/>
    <mergeCell ref="BN51:CB51"/>
    <mergeCell ref="CC59:CH59"/>
    <mergeCell ref="CC60:CD60"/>
    <mergeCell ref="CE60:CG60"/>
    <mergeCell ref="CH60:CH62"/>
    <mergeCell ref="CC61:CC62"/>
    <mergeCell ref="CD61:CD62"/>
    <mergeCell ref="BD48:BM48"/>
    <mergeCell ref="BN48:CB48"/>
    <mergeCell ref="A49:D49"/>
    <mergeCell ref="A50:D50"/>
    <mergeCell ref="A51:D51"/>
    <mergeCell ref="E52:AN52"/>
    <mergeCell ref="AO52:BC52"/>
    <mergeCell ref="BD52:BM52"/>
    <mergeCell ref="BN52:CB52"/>
    <mergeCell ref="A52:D52"/>
    <mergeCell ref="E48:AN48"/>
    <mergeCell ref="E49:AN49"/>
    <mergeCell ref="AO49:BC49"/>
    <mergeCell ref="BD49:BM49"/>
    <mergeCell ref="BN49:CB49"/>
    <mergeCell ref="A55:AM55"/>
    <mergeCell ref="AN55:BC55"/>
    <mergeCell ref="BD55:BM55"/>
    <mergeCell ref="BN55:CB55"/>
    <mergeCell ref="AO48:BC48"/>
    <mergeCell ref="A47:D47"/>
    <mergeCell ref="E47:AN47"/>
    <mergeCell ref="AO47:BC47"/>
    <mergeCell ref="BD47:BM47"/>
    <mergeCell ref="BN47:CB47"/>
    <mergeCell ref="E50:AN50"/>
    <mergeCell ref="AO50:BC50"/>
    <mergeCell ref="BD50:BM50"/>
    <mergeCell ref="BN50:CB50"/>
    <mergeCell ref="A48:D48"/>
    <mergeCell ref="A45:D45"/>
    <mergeCell ref="E45:AN45"/>
    <mergeCell ref="AO45:BC45"/>
    <mergeCell ref="BD45:BM45"/>
    <mergeCell ref="BN45:CB45"/>
    <mergeCell ref="A46:D46"/>
    <mergeCell ref="E46:AN46"/>
    <mergeCell ref="AO46:BC46"/>
    <mergeCell ref="BD46:BM46"/>
    <mergeCell ref="BN46:CB46"/>
    <mergeCell ref="A43:D43"/>
    <mergeCell ref="E43:AN43"/>
    <mergeCell ref="AO43:BC43"/>
    <mergeCell ref="BD43:BM43"/>
    <mergeCell ref="BN43:CB43"/>
    <mergeCell ref="A44:D44"/>
    <mergeCell ref="E44:AN44"/>
    <mergeCell ref="AO44:BC44"/>
    <mergeCell ref="BD44:BM44"/>
    <mergeCell ref="BN44:CB44"/>
    <mergeCell ref="A42:D42"/>
    <mergeCell ref="E42:AN42"/>
    <mergeCell ref="AO42:BC42"/>
    <mergeCell ref="BD42:BM42"/>
    <mergeCell ref="BN42:CB42"/>
    <mergeCell ref="A39:D39"/>
    <mergeCell ref="E41:AN41"/>
    <mergeCell ref="AO41:BC41"/>
    <mergeCell ref="BD41:BM41"/>
    <mergeCell ref="BN41:CB41"/>
    <mergeCell ref="A40:D40"/>
    <mergeCell ref="A41:D41"/>
    <mergeCell ref="E40:AN40"/>
    <mergeCell ref="AO40:BC40"/>
    <mergeCell ref="BD40:BM40"/>
    <mergeCell ref="BN40:CB40"/>
    <mergeCell ref="A38:D38"/>
    <mergeCell ref="E39:AN39"/>
    <mergeCell ref="AO39:BC39"/>
    <mergeCell ref="BD39:BM39"/>
    <mergeCell ref="BN39:CB39"/>
    <mergeCell ref="E38:AN38"/>
    <mergeCell ref="AO38:BC38"/>
    <mergeCell ref="BD38:BM38"/>
    <mergeCell ref="BN38:CB38"/>
    <mergeCell ref="A34:D34"/>
    <mergeCell ref="E34:AN34"/>
    <mergeCell ref="AO34:BC34"/>
    <mergeCell ref="BD34:BM34"/>
    <mergeCell ref="BN34:CB34"/>
    <mergeCell ref="A33:D33"/>
    <mergeCell ref="E33:AN33"/>
    <mergeCell ref="AO33:BC33"/>
    <mergeCell ref="BD33:BM33"/>
    <mergeCell ref="BN33:CB33"/>
    <mergeCell ref="A31:D31"/>
    <mergeCell ref="E31:AM31"/>
    <mergeCell ref="AN31:BC31"/>
    <mergeCell ref="BD31:BM31"/>
    <mergeCell ref="BN31:CB31"/>
    <mergeCell ref="A32:D32"/>
    <mergeCell ref="E32:AM32"/>
    <mergeCell ref="AN32:BC32"/>
    <mergeCell ref="BD32:BM32"/>
    <mergeCell ref="BN32:CB32"/>
    <mergeCell ref="A30:D30"/>
    <mergeCell ref="E30:AM30"/>
    <mergeCell ref="AN30:BC30"/>
    <mergeCell ref="BD30:BM30"/>
    <mergeCell ref="BN30:CB30"/>
    <mergeCell ref="A27:D27"/>
    <mergeCell ref="E27:AN27"/>
    <mergeCell ref="AO27:BC27"/>
    <mergeCell ref="BD27:BM27"/>
    <mergeCell ref="BN27:CB27"/>
    <mergeCell ref="CC23:CH23"/>
    <mergeCell ref="CC24:CD24"/>
    <mergeCell ref="CE24:CG24"/>
    <mergeCell ref="CH24:CH26"/>
    <mergeCell ref="CC25:CC26"/>
    <mergeCell ref="CD25:CD26"/>
    <mergeCell ref="CE25:CE26"/>
    <mergeCell ref="CF25:CF26"/>
    <mergeCell ref="CG25:CG26"/>
    <mergeCell ref="BN19:CB19"/>
    <mergeCell ref="A23:D26"/>
    <mergeCell ref="E23:AN26"/>
    <mergeCell ref="AO23:BC26"/>
    <mergeCell ref="BD23:BM26"/>
    <mergeCell ref="BN23:CB26"/>
    <mergeCell ref="A15:D15"/>
    <mergeCell ref="E15:AM15"/>
    <mergeCell ref="AN15:BC15"/>
    <mergeCell ref="BD15:BM15"/>
    <mergeCell ref="BN15:CB15"/>
    <mergeCell ref="A16:D16"/>
    <mergeCell ref="E16:AM16"/>
    <mergeCell ref="AN16:BC16"/>
    <mergeCell ref="BD16:BM16"/>
    <mergeCell ref="BN16:CB16"/>
    <mergeCell ref="A13:D13"/>
    <mergeCell ref="E13:AM13"/>
    <mergeCell ref="AN13:BC13"/>
    <mergeCell ref="BD13:BM13"/>
    <mergeCell ref="BN13:CB13"/>
    <mergeCell ref="A14:D14"/>
    <mergeCell ref="E14:AM14"/>
    <mergeCell ref="AN14:BC14"/>
    <mergeCell ref="BD14:BM14"/>
    <mergeCell ref="BN14:CB14"/>
    <mergeCell ref="A11:D11"/>
    <mergeCell ref="E11:AM11"/>
    <mergeCell ref="AN11:BC11"/>
    <mergeCell ref="BD11:BM11"/>
    <mergeCell ref="BN11:CB11"/>
    <mergeCell ref="A12:D12"/>
    <mergeCell ref="E12:AM12"/>
    <mergeCell ref="AN12:BC12"/>
    <mergeCell ref="BD12:BM12"/>
    <mergeCell ref="BN12:CB12"/>
    <mergeCell ref="A9:D9"/>
    <mergeCell ref="E9:AM9"/>
    <mergeCell ref="AN9:BC9"/>
    <mergeCell ref="BD9:BM9"/>
    <mergeCell ref="BN9:CB9"/>
    <mergeCell ref="A10:D10"/>
    <mergeCell ref="E10:AM10"/>
    <mergeCell ref="AN10:BC10"/>
    <mergeCell ref="BD10:BM10"/>
    <mergeCell ref="BN10:CB10"/>
    <mergeCell ref="A8:D8"/>
    <mergeCell ref="E8:AM8"/>
    <mergeCell ref="AN8:BC8"/>
    <mergeCell ref="BD8:BM8"/>
    <mergeCell ref="BN8:CB8"/>
    <mergeCell ref="A7:D7"/>
    <mergeCell ref="E7:AM7"/>
    <mergeCell ref="AN7:BC7"/>
    <mergeCell ref="BD7:BM7"/>
    <mergeCell ref="BN7:CB7"/>
    <mergeCell ref="BN3:CB6"/>
    <mergeCell ref="CC3:CH3"/>
    <mergeCell ref="CC4:CD4"/>
    <mergeCell ref="CE4:CG4"/>
    <mergeCell ref="CH4:CH6"/>
    <mergeCell ref="CC5:CC6"/>
    <mergeCell ref="CD5:CD6"/>
    <mergeCell ref="CE5:CE6"/>
    <mergeCell ref="CF5:CF6"/>
    <mergeCell ref="CG5:CG6"/>
    <mergeCell ref="A53:D53"/>
    <mergeCell ref="E53:AN53"/>
    <mergeCell ref="AO53:BC53"/>
    <mergeCell ref="BD53:BM53"/>
    <mergeCell ref="BN53:CB53"/>
    <mergeCell ref="A3:D6"/>
    <mergeCell ref="E3:AM6"/>
    <mergeCell ref="AN3:BC6"/>
    <mergeCell ref="BD3:BM6"/>
    <mergeCell ref="A35:D35"/>
    <mergeCell ref="E35:AN35"/>
    <mergeCell ref="AO35:BC35"/>
    <mergeCell ref="BD35:BM35"/>
    <mergeCell ref="BN35:CB35"/>
    <mergeCell ref="CI35:CU35"/>
    <mergeCell ref="A37:D37"/>
    <mergeCell ref="E37:AN37"/>
    <mergeCell ref="AO37:BC37"/>
    <mergeCell ref="BD37:BM37"/>
    <mergeCell ref="BN37:CB37"/>
    <mergeCell ref="E112:AR112"/>
    <mergeCell ref="AS112:BB112"/>
    <mergeCell ref="BC112:BM112"/>
    <mergeCell ref="BN112:CB112"/>
    <mergeCell ref="CI112:CU112"/>
    <mergeCell ref="A36:D36"/>
    <mergeCell ref="E36:AN36"/>
    <mergeCell ref="AO36:BC36"/>
    <mergeCell ref="BD36:BM36"/>
    <mergeCell ref="BN36:CB36"/>
    <mergeCell ref="CC71:CH71"/>
    <mergeCell ref="CI71:CU71"/>
    <mergeCell ref="CC72:CD72"/>
    <mergeCell ref="CE72:CG72"/>
    <mergeCell ref="CH72:CH74"/>
    <mergeCell ref="CI72:CU75"/>
    <mergeCell ref="CC73:CC74"/>
    <mergeCell ref="CD73:CD74"/>
    <mergeCell ref="CE73:CE74"/>
    <mergeCell ref="CF73:CF74"/>
    <mergeCell ref="CG73:CG74"/>
    <mergeCell ref="A75:D75"/>
    <mergeCell ref="E75:AR75"/>
    <mergeCell ref="AS75:BB75"/>
    <mergeCell ref="BC75:BM75"/>
    <mergeCell ref="BN75:CB75"/>
    <mergeCell ref="A76:D76"/>
    <mergeCell ref="E76:AR76"/>
    <mergeCell ref="AS76:BB76"/>
    <mergeCell ref="BC76:BM76"/>
    <mergeCell ref="BN76:CB76"/>
    <mergeCell ref="BN77:CB77"/>
    <mergeCell ref="BC77:BM77"/>
    <mergeCell ref="A77:AR77"/>
    <mergeCell ref="AS77:BB77"/>
    <mergeCell ref="A99:D99"/>
    <mergeCell ref="E99:AR99"/>
    <mergeCell ref="AS99:BB99"/>
    <mergeCell ref="BC99:BM99"/>
    <mergeCell ref="BN99:CB99"/>
    <mergeCell ref="CI99:CU99"/>
    <mergeCell ref="BN54:CB54"/>
    <mergeCell ref="CI54:CU54"/>
    <mergeCell ref="A54:D54"/>
    <mergeCell ref="E54:AN54"/>
    <mergeCell ref="AO54:BC54"/>
    <mergeCell ref="BD54:BM54"/>
  </mergeCells>
  <printOptions/>
  <pageMargins left="0.7874015748031497" right="0.3937007874015748" top="0.5905511811023623" bottom="0.3937007874015748" header="0.5118110236220472" footer="0.5118110236220472"/>
  <pageSetup fitToHeight="7" fitToWidth="1" horizontalDpi="600" verticalDpi="600" orientation="landscape" paperSize="9" scale="84" r:id="rId1"/>
  <rowBreaks count="1" manualBreakCount="1">
    <brk id="124" max="255" man="1"/>
  </rowBreaks>
  <colBreaks count="1" manualBreakCount="1">
    <brk id="4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CH38"/>
  <sheetViews>
    <sheetView zoomScalePageLayoutView="0" workbookViewId="0" topLeftCell="A1">
      <selection activeCell="E37" sqref="E37"/>
    </sheetView>
  </sheetViews>
  <sheetFormatPr defaultColWidth="1.12109375" defaultRowHeight="12.75"/>
  <cols>
    <col min="1" max="1" width="2.125" style="30" customWidth="1"/>
    <col min="2" max="80" width="1.12109375" style="30" customWidth="1"/>
    <col min="81" max="83" width="9.50390625" style="30" customWidth="1"/>
    <col min="84" max="84" width="9.125" style="30" customWidth="1"/>
    <col min="85" max="85" width="8.50390625" style="30" customWidth="1"/>
    <col min="86" max="86" width="15.125" style="30" customWidth="1"/>
    <col min="87" max="16384" width="1.12109375" style="30" customWidth="1"/>
  </cols>
  <sheetData>
    <row r="1" ht="15">
      <c r="A1" s="32" t="s">
        <v>235</v>
      </c>
    </row>
    <row r="2" ht="12.75" hidden="1"/>
    <row r="3" spans="1:86" s="32" customFormat="1" ht="15" hidden="1">
      <c r="A3" s="31" t="s">
        <v>236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</row>
    <row r="4" spans="1:80" s="50" customFormat="1" ht="7.5" hidden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</row>
    <row r="5" spans="1:86" ht="12.75" customHeight="1" hidden="1">
      <c r="A5" s="126" t="s">
        <v>7</v>
      </c>
      <c r="B5" s="126"/>
      <c r="C5" s="126"/>
      <c r="D5" s="126"/>
      <c r="E5" s="129" t="s">
        <v>53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6" t="s">
        <v>131</v>
      </c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296"/>
      <c r="CD5" s="296"/>
      <c r="CE5" s="296"/>
      <c r="CF5" s="296"/>
      <c r="CG5" s="296"/>
      <c r="CH5" s="296"/>
    </row>
    <row r="6" spans="1:86" ht="83.25" customHeight="1" hidden="1">
      <c r="A6" s="126"/>
      <c r="B6" s="126"/>
      <c r="C6" s="126"/>
      <c r="D6" s="126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297"/>
      <c r="CD6" s="297"/>
      <c r="CE6" s="297"/>
      <c r="CF6" s="297"/>
      <c r="CG6" s="297"/>
      <c r="CH6" s="297"/>
    </row>
    <row r="7" spans="1:86" ht="12.75" customHeight="1" hidden="1">
      <c r="A7" s="126"/>
      <c r="B7" s="126"/>
      <c r="C7" s="126"/>
      <c r="D7" s="126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298"/>
      <c r="CD7" s="298"/>
      <c r="CE7" s="298"/>
      <c r="CF7" s="298"/>
      <c r="CG7" s="298"/>
      <c r="CH7" s="297"/>
    </row>
    <row r="8" spans="1:86" ht="12.75" hidden="1">
      <c r="A8" s="126"/>
      <c r="B8" s="126"/>
      <c r="C8" s="126"/>
      <c r="D8" s="126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298"/>
      <c r="CD8" s="298"/>
      <c r="CE8" s="298"/>
      <c r="CF8" s="298"/>
      <c r="CG8" s="298"/>
      <c r="CH8" s="297"/>
    </row>
    <row r="9" spans="1:86" ht="12.75" hidden="1">
      <c r="A9" s="129">
        <v>1</v>
      </c>
      <c r="B9" s="129"/>
      <c r="C9" s="129"/>
      <c r="D9" s="129"/>
      <c r="E9" s="129">
        <v>2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>
        <v>3</v>
      </c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44"/>
      <c r="CD9" s="44"/>
      <c r="CE9" s="44"/>
      <c r="CF9" s="44"/>
      <c r="CG9" s="44"/>
      <c r="CH9" s="44"/>
    </row>
    <row r="10" spans="1:86" ht="12.75" hidden="1">
      <c r="A10" s="130"/>
      <c r="B10" s="130"/>
      <c r="C10" s="130"/>
      <c r="D10" s="130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42"/>
      <c r="CD10" s="42"/>
      <c r="CE10" s="42"/>
      <c r="CF10" s="42"/>
      <c r="CG10" s="42"/>
      <c r="CH10" s="42"/>
    </row>
    <row r="11" spans="1:86" ht="12.75" hidden="1">
      <c r="A11" s="130"/>
      <c r="B11" s="130"/>
      <c r="C11" s="130"/>
      <c r="D11" s="130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42"/>
      <c r="CD11" s="42"/>
      <c r="CE11" s="42"/>
      <c r="CF11" s="42"/>
      <c r="CG11" s="42"/>
      <c r="CH11" s="42"/>
    </row>
    <row r="12" spans="1:86" ht="12.75" hidden="1">
      <c r="A12" s="131" t="s">
        <v>237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42"/>
      <c r="CD12" s="42"/>
      <c r="CE12" s="42"/>
      <c r="CF12" s="42"/>
      <c r="CG12" s="42"/>
      <c r="CH12" s="42"/>
    </row>
    <row r="13" s="37" customFormat="1" ht="15" hidden="1"/>
    <row r="14" spans="1:86" s="37" customFormat="1" ht="51.75" customHeight="1" hidden="1">
      <c r="A14" s="137" t="s">
        <v>238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</row>
    <row r="15" spans="1:86" s="37" customFormat="1" ht="15" hidden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50"/>
      <c r="CD15" s="50"/>
      <c r="CE15" s="50"/>
      <c r="CF15" s="50"/>
      <c r="CG15" s="50"/>
      <c r="CH15" s="50"/>
    </row>
    <row r="16" spans="1:86" s="37" customFormat="1" ht="15" customHeight="1" hidden="1">
      <c r="A16" s="126" t="s">
        <v>7</v>
      </c>
      <c r="B16" s="126"/>
      <c r="C16" s="126"/>
      <c r="D16" s="126"/>
      <c r="E16" s="129" t="s">
        <v>53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6" t="s">
        <v>172</v>
      </c>
      <c r="AT16" s="126"/>
      <c r="AU16" s="126"/>
      <c r="AV16" s="126"/>
      <c r="AW16" s="126"/>
      <c r="AX16" s="126"/>
      <c r="AY16" s="126"/>
      <c r="AZ16" s="126"/>
      <c r="BA16" s="126"/>
      <c r="BB16" s="126"/>
      <c r="BC16" s="126" t="s">
        <v>131</v>
      </c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 t="s">
        <v>65</v>
      </c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296"/>
      <c r="CD16" s="296"/>
      <c r="CE16" s="296"/>
      <c r="CF16" s="296"/>
      <c r="CG16" s="296"/>
      <c r="CH16" s="296"/>
    </row>
    <row r="17" spans="1:86" s="37" customFormat="1" ht="84" customHeight="1" hidden="1">
      <c r="A17" s="126"/>
      <c r="B17" s="126"/>
      <c r="C17" s="126"/>
      <c r="D17" s="126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297"/>
      <c r="CD17" s="297"/>
      <c r="CE17" s="297"/>
      <c r="CF17" s="297"/>
      <c r="CG17" s="297"/>
      <c r="CH17" s="297"/>
    </row>
    <row r="18" spans="1:86" s="37" customFormat="1" ht="15" hidden="1">
      <c r="A18" s="126"/>
      <c r="B18" s="126"/>
      <c r="C18" s="126"/>
      <c r="D18" s="126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298"/>
      <c r="CD18" s="298"/>
      <c r="CE18" s="298"/>
      <c r="CF18" s="298"/>
      <c r="CG18" s="298"/>
      <c r="CH18" s="297"/>
    </row>
    <row r="19" spans="1:86" s="37" customFormat="1" ht="15" hidden="1">
      <c r="A19" s="126"/>
      <c r="B19" s="126"/>
      <c r="C19" s="126"/>
      <c r="D19" s="126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298"/>
      <c r="CD19" s="298"/>
      <c r="CE19" s="298"/>
      <c r="CF19" s="298"/>
      <c r="CG19" s="298"/>
      <c r="CH19" s="297"/>
    </row>
    <row r="20" spans="1:86" s="37" customFormat="1" ht="15" customHeight="1" hidden="1">
      <c r="A20" s="129">
        <v>1</v>
      </c>
      <c r="B20" s="129"/>
      <c r="C20" s="129"/>
      <c r="D20" s="129"/>
      <c r="E20" s="129">
        <v>2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>
        <v>3</v>
      </c>
      <c r="AT20" s="129"/>
      <c r="AU20" s="129"/>
      <c r="AV20" s="129"/>
      <c r="AW20" s="129"/>
      <c r="AX20" s="129"/>
      <c r="AY20" s="129"/>
      <c r="AZ20" s="129"/>
      <c r="BA20" s="129"/>
      <c r="BB20" s="129"/>
      <c r="BC20" s="129">
        <v>4</v>
      </c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 t="s">
        <v>69</v>
      </c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44"/>
      <c r="CD20" s="44"/>
      <c r="CE20" s="44"/>
      <c r="CF20" s="44"/>
      <c r="CG20" s="44"/>
      <c r="CH20" s="44"/>
    </row>
    <row r="21" spans="1:86" s="37" customFormat="1" ht="15" hidden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42"/>
      <c r="CD21" s="42"/>
      <c r="CE21" s="42"/>
      <c r="CF21" s="42"/>
      <c r="CG21" s="42"/>
      <c r="CH21" s="42"/>
    </row>
    <row r="22" spans="1:86" s="37" customFormat="1" ht="15" hidden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42"/>
      <c r="CD22" s="42"/>
      <c r="CE22" s="42"/>
      <c r="CF22" s="42"/>
      <c r="CG22" s="42"/>
      <c r="CH22" s="42"/>
    </row>
    <row r="23" spans="1:86" s="37" customFormat="1" ht="15" hidden="1">
      <c r="A23" s="131" t="s">
        <v>239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27" t="s">
        <v>44</v>
      </c>
      <c r="AT23" s="127"/>
      <c r="AU23" s="127"/>
      <c r="AV23" s="127"/>
      <c r="AW23" s="127"/>
      <c r="AX23" s="127"/>
      <c r="AY23" s="127"/>
      <c r="AZ23" s="127"/>
      <c r="BA23" s="127"/>
      <c r="BB23" s="127"/>
      <c r="BC23" s="127" t="s">
        <v>44</v>
      </c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42"/>
      <c r="CD23" s="42"/>
      <c r="CE23" s="42"/>
      <c r="CF23" s="42"/>
      <c r="CG23" s="42"/>
      <c r="CH23" s="42"/>
    </row>
    <row r="24" s="37" customFormat="1" ht="15" hidden="1"/>
    <row r="25" s="37" customFormat="1" ht="15" hidden="1"/>
    <row r="26" s="37" customFormat="1" ht="15" hidden="1"/>
    <row r="27" s="37" customFormat="1" ht="15" hidden="1"/>
    <row r="28" s="37" customFormat="1" ht="15" hidden="1"/>
    <row r="29" s="37" customFormat="1" ht="15" hidden="1"/>
    <row r="30" spans="1:86" ht="15">
      <c r="A30" s="138" t="s">
        <v>240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</row>
    <row r="31" spans="1:86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50"/>
      <c r="CD31" s="50"/>
      <c r="CE31" s="50"/>
      <c r="CF31" s="50"/>
      <c r="CG31" s="50"/>
      <c r="CH31" s="50"/>
    </row>
    <row r="32" spans="1:86" ht="12.75" customHeight="1">
      <c r="A32" s="126" t="s">
        <v>7</v>
      </c>
      <c r="B32" s="126"/>
      <c r="C32" s="126"/>
      <c r="D32" s="126"/>
      <c r="E32" s="129" t="s">
        <v>53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 t="s">
        <v>172</v>
      </c>
      <c r="AT32" s="129"/>
      <c r="AU32" s="129"/>
      <c r="AV32" s="129"/>
      <c r="AW32" s="129"/>
      <c r="AX32" s="129"/>
      <c r="AY32" s="129"/>
      <c r="AZ32" s="129"/>
      <c r="BA32" s="129"/>
      <c r="BB32" s="129"/>
      <c r="BC32" s="126" t="s">
        <v>131</v>
      </c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9" t="s">
        <v>65</v>
      </c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7" t="s">
        <v>12</v>
      </c>
      <c r="CD32" s="127"/>
      <c r="CE32" s="127"/>
      <c r="CF32" s="127"/>
      <c r="CG32" s="127"/>
      <c r="CH32" s="127"/>
    </row>
    <row r="33" spans="1:86" ht="79.5" customHeight="1">
      <c r="A33" s="126"/>
      <c r="B33" s="126"/>
      <c r="C33" s="126"/>
      <c r="D33" s="126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6" t="s">
        <v>17</v>
      </c>
      <c r="CD33" s="126"/>
      <c r="CE33" s="126" t="s">
        <v>18</v>
      </c>
      <c r="CF33" s="126"/>
      <c r="CG33" s="126"/>
      <c r="CH33" s="126" t="s">
        <v>19</v>
      </c>
    </row>
    <row r="34" spans="1:86" ht="12.75" customHeight="1">
      <c r="A34" s="126"/>
      <c r="B34" s="126"/>
      <c r="C34" s="126"/>
      <c r="D34" s="126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8" t="s">
        <v>20</v>
      </c>
      <c r="CD34" s="128" t="s">
        <v>21</v>
      </c>
      <c r="CE34" s="128" t="s">
        <v>22</v>
      </c>
      <c r="CF34" s="128" t="s">
        <v>20</v>
      </c>
      <c r="CG34" s="128" t="s">
        <v>21</v>
      </c>
      <c r="CH34" s="126"/>
    </row>
    <row r="35" spans="1:86" ht="12.75">
      <c r="A35" s="126"/>
      <c r="B35" s="126"/>
      <c r="C35" s="126"/>
      <c r="D35" s="126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8"/>
      <c r="CD35" s="128"/>
      <c r="CE35" s="128"/>
      <c r="CF35" s="128"/>
      <c r="CG35" s="128"/>
      <c r="CH35" s="126"/>
    </row>
    <row r="36" spans="1:86" ht="12.75">
      <c r="A36" s="129">
        <v>1</v>
      </c>
      <c r="B36" s="129"/>
      <c r="C36" s="129"/>
      <c r="D36" s="129"/>
      <c r="E36" s="129">
        <v>2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>
        <v>3</v>
      </c>
      <c r="AT36" s="129"/>
      <c r="AU36" s="129"/>
      <c r="AV36" s="129"/>
      <c r="AW36" s="129"/>
      <c r="AX36" s="129"/>
      <c r="AY36" s="129"/>
      <c r="AZ36" s="129"/>
      <c r="BA36" s="129"/>
      <c r="BB36" s="129"/>
      <c r="BC36" s="129">
        <v>4</v>
      </c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 t="s">
        <v>69</v>
      </c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34">
        <v>6</v>
      </c>
      <c r="CD36" s="34">
        <v>7</v>
      </c>
      <c r="CE36" s="34">
        <v>8</v>
      </c>
      <c r="CF36" s="34">
        <v>9</v>
      </c>
      <c r="CG36" s="34">
        <v>10</v>
      </c>
      <c r="CH36" s="34">
        <v>11</v>
      </c>
    </row>
    <row r="37" spans="1:86" ht="12.75">
      <c r="A37" s="127">
        <v>1</v>
      </c>
      <c r="B37" s="127"/>
      <c r="C37" s="127"/>
      <c r="D37" s="127"/>
      <c r="E37" s="130" t="s">
        <v>241</v>
      </c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27">
        <v>40</v>
      </c>
      <c r="AT37" s="127"/>
      <c r="AU37" s="127"/>
      <c r="AV37" s="127"/>
      <c r="AW37" s="127"/>
      <c r="AX37" s="127"/>
      <c r="AY37" s="127"/>
      <c r="AZ37" s="127"/>
      <c r="BA37" s="127"/>
      <c r="BB37" s="127"/>
      <c r="BC37" s="133">
        <f>BN37/AS37</f>
        <v>549.016</v>
      </c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>
        <f>CD37+CH37</f>
        <v>21960.64</v>
      </c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36"/>
      <c r="CD37" s="34">
        <v>11976.64</v>
      </c>
      <c r="CE37" s="36"/>
      <c r="CF37" s="36"/>
      <c r="CG37" s="36"/>
      <c r="CH37" s="38">
        <v>9984</v>
      </c>
    </row>
    <row r="38" spans="1:86" ht="12.75">
      <c r="A38" s="134" t="s">
        <v>242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5" t="s">
        <v>44</v>
      </c>
      <c r="AT38" s="135"/>
      <c r="AU38" s="135"/>
      <c r="AV38" s="135"/>
      <c r="AW38" s="135"/>
      <c r="AX38" s="135"/>
      <c r="AY38" s="135"/>
      <c r="AZ38" s="135"/>
      <c r="BA38" s="135"/>
      <c r="BB38" s="135"/>
      <c r="BC38" s="135" t="s">
        <v>44</v>
      </c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64">
        <f>BN37</f>
        <v>21960.64</v>
      </c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55"/>
      <c r="CD38" s="46">
        <f>CD37</f>
        <v>11976.64</v>
      </c>
      <c r="CE38" s="55"/>
      <c r="CF38" s="55"/>
      <c r="CG38" s="55"/>
      <c r="CH38" s="46">
        <f>SUM(CH37)</f>
        <v>9984</v>
      </c>
    </row>
  </sheetData>
  <sheetProtection selectLockedCells="1" selectUnlockedCells="1"/>
  <mergeCells count="86">
    <mergeCell ref="A38:AR38"/>
    <mergeCell ref="AS38:BB38"/>
    <mergeCell ref="BC38:BM38"/>
    <mergeCell ref="BN38:CB38"/>
    <mergeCell ref="A36:D36"/>
    <mergeCell ref="E36:AR36"/>
    <mergeCell ref="AS36:BB36"/>
    <mergeCell ref="BC36:BM36"/>
    <mergeCell ref="BN36:CB36"/>
    <mergeCell ref="A37:D37"/>
    <mergeCell ref="E37:AR37"/>
    <mergeCell ref="AS37:BB37"/>
    <mergeCell ref="BC37:BM37"/>
    <mergeCell ref="BN37:CB37"/>
    <mergeCell ref="CC32:CH32"/>
    <mergeCell ref="CC33:CD33"/>
    <mergeCell ref="CE33:CG33"/>
    <mergeCell ref="CH33:CH35"/>
    <mergeCell ref="CC34:CC35"/>
    <mergeCell ref="CD34:CD35"/>
    <mergeCell ref="CE34:CE35"/>
    <mergeCell ref="CF34:CF35"/>
    <mergeCell ref="CG34:CG35"/>
    <mergeCell ref="A23:AR23"/>
    <mergeCell ref="AS23:BB23"/>
    <mergeCell ref="BC23:BM23"/>
    <mergeCell ref="BN23:CB23"/>
    <mergeCell ref="A30:CH30"/>
    <mergeCell ref="A32:D35"/>
    <mergeCell ref="E32:AR35"/>
    <mergeCell ref="AS32:BB35"/>
    <mergeCell ref="BC32:BM35"/>
    <mergeCell ref="BN32:CB35"/>
    <mergeCell ref="A21:D21"/>
    <mergeCell ref="E21:AR21"/>
    <mergeCell ref="AS21:BB21"/>
    <mergeCell ref="BC21:BM21"/>
    <mergeCell ref="BN21:CB21"/>
    <mergeCell ref="A22:D22"/>
    <mergeCell ref="E22:AR22"/>
    <mergeCell ref="AS22:BB22"/>
    <mergeCell ref="BC22:BM22"/>
    <mergeCell ref="BN22:CB22"/>
    <mergeCell ref="CD18:CD19"/>
    <mergeCell ref="CE18:CE19"/>
    <mergeCell ref="CF18:CF19"/>
    <mergeCell ref="BN16:CB19"/>
    <mergeCell ref="CC16:CH16"/>
    <mergeCell ref="CC17:CD17"/>
    <mergeCell ref="CE17:CG17"/>
    <mergeCell ref="CG18:CG19"/>
    <mergeCell ref="A20:D20"/>
    <mergeCell ref="E20:AR20"/>
    <mergeCell ref="AS20:BB20"/>
    <mergeCell ref="BC20:BM20"/>
    <mergeCell ref="BN20:CB20"/>
    <mergeCell ref="A16:D19"/>
    <mergeCell ref="E16:AR19"/>
    <mergeCell ref="AS16:BB19"/>
    <mergeCell ref="BC16:BM19"/>
    <mergeCell ref="A5:D8"/>
    <mergeCell ref="E5:AN8"/>
    <mergeCell ref="CH17:CH19"/>
    <mergeCell ref="CC18:CC19"/>
    <mergeCell ref="A11:D11"/>
    <mergeCell ref="E11:AN11"/>
    <mergeCell ref="AO11:CB11"/>
    <mergeCell ref="A12:AN12"/>
    <mergeCell ref="AO12:CB12"/>
    <mergeCell ref="A14:CH14"/>
    <mergeCell ref="A9:D9"/>
    <mergeCell ref="E9:AN9"/>
    <mergeCell ref="AO9:CB9"/>
    <mergeCell ref="A10:D10"/>
    <mergeCell ref="E10:AN10"/>
    <mergeCell ref="AO10:CB10"/>
    <mergeCell ref="AO5:CB8"/>
    <mergeCell ref="CC5:CH5"/>
    <mergeCell ref="CC6:CD6"/>
    <mergeCell ref="CE6:CG6"/>
    <mergeCell ref="CH6:CH8"/>
    <mergeCell ref="CC7:CC8"/>
    <mergeCell ref="CD7:CD8"/>
    <mergeCell ref="CE7:CE8"/>
    <mergeCell ref="CF7:CF8"/>
    <mergeCell ref="CG7:CG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2020-12-15T13:12:24Z</cp:lastPrinted>
  <dcterms:modified xsi:type="dcterms:W3CDTF">2020-12-15T13:12:31Z</dcterms:modified>
  <cp:category/>
  <cp:version/>
  <cp:contentType/>
  <cp:contentStatus/>
</cp:coreProperties>
</file>